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14940" windowHeight="8850"/>
  </bookViews>
  <sheets>
    <sheet name="STATEMENT OF REVENUES AND EXPEN" sheetId="1" r:id="rId1"/>
    <sheet name="Revenue" sheetId="2" r:id="rId2"/>
    <sheet name="OTA Fees" sheetId="3" r:id="rId3"/>
    <sheet name="2016 Maintenance Costs" sheetId="4" r:id="rId4"/>
    <sheet name="Assistant Pro" sheetId="5" r:id="rId5"/>
    <sheet name="Repairs Cleaning and Mntc" sheetId="6" r:id="rId6"/>
  </sheets>
  <definedNames>
    <definedName name="_xlnm.Print_Area" localSheetId="1">Revenue!$A$1:$I$36</definedName>
  </definedNames>
  <calcPr calcId="125725"/>
</workbook>
</file>

<file path=xl/calcChain.xml><?xml version="1.0" encoding="utf-8"?>
<calcChain xmlns="http://schemas.openxmlformats.org/spreadsheetml/2006/main">
  <c r="N110" i="1"/>
  <c r="B106"/>
  <c r="O74" i="6"/>
  <c r="N74"/>
  <c r="M74"/>
  <c r="L74"/>
  <c r="K74"/>
  <c r="J74"/>
  <c r="I74"/>
  <c r="H74"/>
  <c r="G74"/>
  <c r="F74"/>
  <c r="E74"/>
  <c r="D74"/>
  <c r="P73"/>
  <c r="P72"/>
  <c r="P71"/>
  <c r="E58" i="1"/>
  <c r="N58" s="1"/>
  <c r="I58"/>
  <c r="M58"/>
  <c r="B57"/>
  <c r="D57"/>
  <c r="F57"/>
  <c r="H57"/>
  <c r="J57"/>
  <c r="L57"/>
  <c r="O66" i="6"/>
  <c r="N66"/>
  <c r="L58" i="1"/>
  <c r="M66" i="6"/>
  <c r="K58" i="1"/>
  <c r="L66" i="6"/>
  <c r="J58" i="1"/>
  <c r="K66" i="6"/>
  <c r="J66"/>
  <c r="H58" i="1"/>
  <c r="I66" i="6"/>
  <c r="G58" i="1"/>
  <c r="H66" i="6"/>
  <c r="F58" i="1"/>
  <c r="G66" i="6"/>
  <c r="F66"/>
  <c r="D58" i="1"/>
  <c r="E66" i="6"/>
  <c r="C58" i="1"/>
  <c r="D66" i="6"/>
  <c r="B58" i="1"/>
  <c r="P65" i="6"/>
  <c r="P64"/>
  <c r="P63"/>
  <c r="O57"/>
  <c r="M57" i="1"/>
  <c r="N57" i="6"/>
  <c r="M57"/>
  <c r="K57" i="1"/>
  <c r="L57" i="6"/>
  <c r="K57"/>
  <c r="I57" i="1"/>
  <c r="J57" i="6"/>
  <c r="I57"/>
  <c r="G57" i="1"/>
  <c r="H57" i="6"/>
  <c r="G57"/>
  <c r="E57" i="1"/>
  <c r="E64" s="1"/>
  <c r="F57" i="6"/>
  <c r="E57"/>
  <c r="C57" i="1"/>
  <c r="D57" i="6"/>
  <c r="P56"/>
  <c r="P55"/>
  <c r="P54"/>
  <c r="C56" i="1"/>
  <c r="G56"/>
  <c r="K56"/>
  <c r="K64" s="1"/>
  <c r="K91" s="1"/>
  <c r="K98" s="1"/>
  <c r="K108" s="1"/>
  <c r="O48" i="6"/>
  <c r="M56" i="1"/>
  <c r="N48" i="6"/>
  <c r="L56" i="1"/>
  <c r="M48" i="6"/>
  <c r="L48"/>
  <c r="J56" i="1"/>
  <c r="K48" i="6"/>
  <c r="I56" i="1"/>
  <c r="J48" i="6"/>
  <c r="H56" i="1"/>
  <c r="I48" i="6"/>
  <c r="H48"/>
  <c r="F56" i="1"/>
  <c r="G48" i="6"/>
  <c r="E56" i="1"/>
  <c r="F48" i="6"/>
  <c r="D56" i="1"/>
  <c r="E48" i="6"/>
  <c r="D48"/>
  <c r="B56" i="1"/>
  <c r="P47" i="6"/>
  <c r="P46"/>
  <c r="P45"/>
  <c r="C55" i="1"/>
  <c r="E55"/>
  <c r="G55"/>
  <c r="I55"/>
  <c r="I64" s="1"/>
  <c r="I91" s="1"/>
  <c r="I98" s="1"/>
  <c r="I108" s="1"/>
  <c r="K55"/>
  <c r="M55"/>
  <c r="O40" i="6"/>
  <c r="N40"/>
  <c r="L55" i="1"/>
  <c r="L64" s="1"/>
  <c r="M40" i="6"/>
  <c r="L40"/>
  <c r="J55" i="1"/>
  <c r="K40" i="6"/>
  <c r="J40"/>
  <c r="H55" i="1"/>
  <c r="I40" i="6"/>
  <c r="H40"/>
  <c r="F55" i="1"/>
  <c r="F64"/>
  <c r="F91" s="1"/>
  <c r="F98" s="1"/>
  <c r="F108" s="1"/>
  <c r="G40" i="6"/>
  <c r="F40"/>
  <c r="D55" i="1"/>
  <c r="E40" i="6"/>
  <c r="D40"/>
  <c r="B55" i="1"/>
  <c r="P39" i="6"/>
  <c r="P38"/>
  <c r="P37"/>
  <c r="D53" i="1"/>
  <c r="D64" s="1"/>
  <c r="D91" s="1"/>
  <c r="D98" s="1"/>
  <c r="D108" s="1"/>
  <c r="F53"/>
  <c r="H53"/>
  <c r="H64" s="1"/>
  <c r="H91" s="1"/>
  <c r="H98" s="1"/>
  <c r="H108" s="1"/>
  <c r="L53"/>
  <c r="O32" i="6"/>
  <c r="N32"/>
  <c r="M32"/>
  <c r="L32"/>
  <c r="K32"/>
  <c r="J32"/>
  <c r="I32"/>
  <c r="H32"/>
  <c r="G32"/>
  <c r="F32"/>
  <c r="E32"/>
  <c r="D32"/>
  <c r="P31"/>
  <c r="P30"/>
  <c r="P29"/>
  <c r="O23"/>
  <c r="M53" i="1"/>
  <c r="M64" s="1"/>
  <c r="M91" s="1"/>
  <c r="M98" s="1"/>
  <c r="M108" s="1"/>
  <c r="N23" i="6"/>
  <c r="M23"/>
  <c r="K53" i="1"/>
  <c r="L23" i="6"/>
  <c r="J53" i="1"/>
  <c r="K23" i="6"/>
  <c r="I53" i="1"/>
  <c r="J23" i="6"/>
  <c r="I23"/>
  <c r="G53" i="1"/>
  <c r="G64" s="1"/>
  <c r="G91" s="1"/>
  <c r="G98" s="1"/>
  <c r="G108" s="1"/>
  <c r="G23" i="6"/>
  <c r="E53" i="1"/>
  <c r="F23" i="6"/>
  <c r="D23"/>
  <c r="B53" i="1"/>
  <c r="P22" i="6"/>
  <c r="P21"/>
  <c r="H23"/>
  <c r="E6"/>
  <c r="P6"/>
  <c r="H5"/>
  <c r="O11"/>
  <c r="N11"/>
  <c r="M11"/>
  <c r="L11"/>
  <c r="K11"/>
  <c r="J11"/>
  <c r="I11"/>
  <c r="H11"/>
  <c r="G11"/>
  <c r="F11"/>
  <c r="E11"/>
  <c r="D11"/>
  <c r="P10"/>
  <c r="P9"/>
  <c r="P8"/>
  <c r="P7"/>
  <c r="B74" i="1"/>
  <c r="B75" s="1"/>
  <c r="C74"/>
  <c r="C75"/>
  <c r="D74"/>
  <c r="E74"/>
  <c r="E75" s="1"/>
  <c r="F74"/>
  <c r="F75"/>
  <c r="G74"/>
  <c r="G75"/>
  <c r="H74"/>
  <c r="H75"/>
  <c r="I74"/>
  <c r="I75"/>
  <c r="J74"/>
  <c r="J75"/>
  <c r="K74"/>
  <c r="L74"/>
  <c r="L75" s="1"/>
  <c r="M74"/>
  <c r="M75"/>
  <c r="R18" i="5"/>
  <c r="R12"/>
  <c r="R16"/>
  <c r="R8"/>
  <c r="Q18"/>
  <c r="P18"/>
  <c r="O18"/>
  <c r="N18"/>
  <c r="M18"/>
  <c r="L18"/>
  <c r="K18"/>
  <c r="J18"/>
  <c r="I18"/>
  <c r="H18"/>
  <c r="G18"/>
  <c r="F18"/>
  <c r="E18"/>
  <c r="P16"/>
  <c r="L16"/>
  <c r="K16"/>
  <c r="J16"/>
  <c r="I16"/>
  <c r="H16"/>
  <c r="E16"/>
  <c r="P12"/>
  <c r="O12"/>
  <c r="N12"/>
  <c r="M12"/>
  <c r="L12"/>
  <c r="K12"/>
  <c r="G12"/>
  <c r="P8"/>
  <c r="O8"/>
  <c r="N8"/>
  <c r="M8"/>
  <c r="L8"/>
  <c r="K8"/>
  <c r="J8"/>
  <c r="I8"/>
  <c r="H8"/>
  <c r="P31"/>
  <c r="O31"/>
  <c r="N31"/>
  <c r="M31"/>
  <c r="L31"/>
  <c r="K31"/>
  <c r="J31"/>
  <c r="I31"/>
  <c r="H31"/>
  <c r="G31"/>
  <c r="F31"/>
  <c r="E31"/>
  <c r="Q30"/>
  <c r="Q29"/>
  <c r="Q28"/>
  <c r="Q27"/>
  <c r="Q26"/>
  <c r="Q7"/>
  <c r="O15"/>
  <c r="N15"/>
  <c r="N16"/>
  <c r="M15"/>
  <c r="M16"/>
  <c r="L15"/>
  <c r="H14"/>
  <c r="G14"/>
  <c r="G16"/>
  <c r="F14"/>
  <c r="F16"/>
  <c r="E14"/>
  <c r="J11"/>
  <c r="J12"/>
  <c r="I11"/>
  <c r="I12"/>
  <c r="H11"/>
  <c r="H12"/>
  <c r="G10"/>
  <c r="F10"/>
  <c r="F12"/>
  <c r="E10"/>
  <c r="E12"/>
  <c r="G6"/>
  <c r="G8"/>
  <c r="F6"/>
  <c r="F8"/>
  <c r="E6"/>
  <c r="E8"/>
  <c r="O16"/>
  <c r="Q31"/>
  <c r="Q14"/>
  <c r="Q10"/>
  <c r="Q12"/>
  <c r="Q11"/>
  <c r="Q6"/>
  <c r="Q8"/>
  <c r="Q15"/>
  <c r="Q25"/>
  <c r="K73" i="1"/>
  <c r="K75"/>
  <c r="J15" i="2"/>
  <c r="I32" i="4"/>
  <c r="J21"/>
  <c r="J22"/>
  <c r="J23"/>
  <c r="J24"/>
  <c r="J25"/>
  <c r="J26"/>
  <c r="J27"/>
  <c r="J28"/>
  <c r="J29"/>
  <c r="J30"/>
  <c r="O53" i="1"/>
  <c r="O55"/>
  <c r="F35" i="2"/>
  <c r="O96" i="1"/>
  <c r="O90"/>
  <c r="O84"/>
  <c r="O81"/>
  <c r="O78"/>
  <c r="O75"/>
  <c r="O71"/>
  <c r="O68"/>
  <c r="O64"/>
  <c r="O51"/>
  <c r="O48"/>
  <c r="O45"/>
  <c r="O41"/>
  <c r="O38"/>
  <c r="O34"/>
  <c r="O31"/>
  <c r="O91"/>
  <c r="O24"/>
  <c r="O25"/>
  <c r="O26"/>
  <c r="O27"/>
  <c r="E19" i="3"/>
  <c r="D19"/>
  <c r="D18"/>
  <c r="E18"/>
  <c r="D10"/>
  <c r="F10"/>
  <c r="E17"/>
  <c r="D7"/>
  <c r="F7"/>
  <c r="D17"/>
  <c r="D9"/>
  <c r="F9"/>
  <c r="D8"/>
  <c r="F8"/>
  <c r="F11"/>
  <c r="C19" i="1"/>
  <c r="N19"/>
  <c r="N18"/>
  <c r="C14"/>
  <c r="N14"/>
  <c r="C10"/>
  <c r="N10"/>
  <c r="F9" i="2"/>
  <c r="E28"/>
  <c r="F28"/>
  <c r="E27"/>
  <c r="F27"/>
  <c r="E26"/>
  <c r="F26"/>
  <c r="E25"/>
  <c r="F25"/>
  <c r="E24"/>
  <c r="F24"/>
  <c r="E23"/>
  <c r="F23"/>
  <c r="E22"/>
  <c r="F22"/>
  <c r="E21"/>
  <c r="F21"/>
  <c r="E20"/>
  <c r="F20"/>
  <c r="E17"/>
  <c r="F17"/>
  <c r="E15"/>
  <c r="E14"/>
  <c r="F14"/>
  <c r="E13"/>
  <c r="F13"/>
  <c r="E11"/>
  <c r="F11"/>
  <c r="E10"/>
  <c r="F10"/>
  <c r="E9"/>
  <c r="N7" i="1"/>
  <c r="N8"/>
  <c r="D24"/>
  <c r="D25"/>
  <c r="D26"/>
  <c r="D27"/>
  <c r="N9"/>
  <c r="E24"/>
  <c r="E25"/>
  <c r="E26"/>
  <c r="E27"/>
  <c r="N11"/>
  <c r="N12"/>
  <c r="N13"/>
  <c r="N15"/>
  <c r="N16"/>
  <c r="L24"/>
  <c r="L25"/>
  <c r="L26"/>
  <c r="L27"/>
  <c r="N17"/>
  <c r="G24"/>
  <c r="G25"/>
  <c r="G26"/>
  <c r="G27"/>
  <c r="N20"/>
  <c r="N21"/>
  <c r="K24"/>
  <c r="K25"/>
  <c r="K26"/>
  <c r="K27"/>
  <c r="N22"/>
  <c r="N23"/>
  <c r="B24"/>
  <c r="B25"/>
  <c r="B26"/>
  <c r="B27"/>
  <c r="F24"/>
  <c r="F25"/>
  <c r="F26"/>
  <c r="F27"/>
  <c r="J24"/>
  <c r="J25"/>
  <c r="J26"/>
  <c r="J27"/>
  <c r="M24"/>
  <c r="M25"/>
  <c r="M26"/>
  <c r="M27"/>
  <c r="N29"/>
  <c r="N30"/>
  <c r="B31"/>
  <c r="C31"/>
  <c r="D31"/>
  <c r="E31"/>
  <c r="F31"/>
  <c r="G31"/>
  <c r="H31"/>
  <c r="I31"/>
  <c r="J31"/>
  <c r="K31"/>
  <c r="L31"/>
  <c r="M31"/>
  <c r="N32"/>
  <c r="N33"/>
  <c r="C34"/>
  <c r="F34"/>
  <c r="G34"/>
  <c r="M34"/>
  <c r="D34"/>
  <c r="E34"/>
  <c r="H34"/>
  <c r="I34"/>
  <c r="N34"/>
  <c r="J34"/>
  <c r="K34"/>
  <c r="L34"/>
  <c r="N35"/>
  <c r="B38"/>
  <c r="E38"/>
  <c r="N36"/>
  <c r="N37"/>
  <c r="C38"/>
  <c r="D38"/>
  <c r="F38"/>
  <c r="N38"/>
  <c r="G38"/>
  <c r="H38"/>
  <c r="I38"/>
  <c r="J38"/>
  <c r="K38"/>
  <c r="L38"/>
  <c r="M38"/>
  <c r="N39"/>
  <c r="G40"/>
  <c r="N40"/>
  <c r="I40"/>
  <c r="I41"/>
  <c r="K41"/>
  <c r="B41"/>
  <c r="C41"/>
  <c r="D41"/>
  <c r="E41"/>
  <c r="F41"/>
  <c r="G41"/>
  <c r="H41"/>
  <c r="J41"/>
  <c r="L41"/>
  <c r="M41"/>
  <c r="N42"/>
  <c r="N43"/>
  <c r="F45"/>
  <c r="G45"/>
  <c r="N44"/>
  <c r="B45"/>
  <c r="C45"/>
  <c r="D45"/>
  <c r="E45"/>
  <c r="H45"/>
  <c r="I45"/>
  <c r="K45"/>
  <c r="L45"/>
  <c r="M45"/>
  <c r="N46"/>
  <c r="B47"/>
  <c r="B48"/>
  <c r="D47"/>
  <c r="D48"/>
  <c r="G47"/>
  <c r="G48"/>
  <c r="J47"/>
  <c r="J48"/>
  <c r="C48"/>
  <c r="E48"/>
  <c r="F48"/>
  <c r="H48"/>
  <c r="I48"/>
  <c r="K48"/>
  <c r="L48"/>
  <c r="M48"/>
  <c r="N49"/>
  <c r="N50"/>
  <c r="M51"/>
  <c r="B51"/>
  <c r="C51"/>
  <c r="D51"/>
  <c r="E51"/>
  <c r="F51"/>
  <c r="G51"/>
  <c r="H51"/>
  <c r="I51"/>
  <c r="J51"/>
  <c r="K51"/>
  <c r="L51"/>
  <c r="N52"/>
  <c r="N54"/>
  <c r="N59"/>
  <c r="N60"/>
  <c r="N61"/>
  <c r="J62"/>
  <c r="N62"/>
  <c r="K62"/>
  <c r="N63"/>
  <c r="N65"/>
  <c r="N66"/>
  <c r="M68"/>
  <c r="D68"/>
  <c r="F68"/>
  <c r="B68"/>
  <c r="C68"/>
  <c r="E68"/>
  <c r="G68"/>
  <c r="H68"/>
  <c r="I68"/>
  <c r="J68"/>
  <c r="K68"/>
  <c r="L68"/>
  <c r="N69"/>
  <c r="N70"/>
  <c r="B71"/>
  <c r="C71"/>
  <c r="D71"/>
  <c r="N71"/>
  <c r="E71"/>
  <c r="F71"/>
  <c r="G71"/>
  <c r="H71"/>
  <c r="J71"/>
  <c r="K71"/>
  <c r="L71"/>
  <c r="M71"/>
  <c r="N72"/>
  <c r="D75"/>
  <c r="N76"/>
  <c r="F78"/>
  <c r="H78"/>
  <c r="I78"/>
  <c r="M78"/>
  <c r="C78"/>
  <c r="D78"/>
  <c r="E78"/>
  <c r="G78"/>
  <c r="J78"/>
  <c r="K78"/>
  <c r="L78"/>
  <c r="N79"/>
  <c r="N80"/>
  <c r="B81"/>
  <c r="C81"/>
  <c r="D81"/>
  <c r="E81"/>
  <c r="F81"/>
  <c r="H81"/>
  <c r="I81"/>
  <c r="J81"/>
  <c r="K81"/>
  <c r="L81"/>
  <c r="M81"/>
  <c r="N82"/>
  <c r="C84"/>
  <c r="D84"/>
  <c r="E84"/>
  <c r="I84"/>
  <c r="B84"/>
  <c r="F84"/>
  <c r="G84"/>
  <c r="H84"/>
  <c r="J84"/>
  <c r="K84"/>
  <c r="L84"/>
  <c r="M84"/>
  <c r="N85"/>
  <c r="M87"/>
  <c r="N88"/>
  <c r="E90"/>
  <c r="I90"/>
  <c r="M90"/>
  <c r="H90"/>
  <c r="D90"/>
  <c r="L90"/>
  <c r="N93"/>
  <c r="N94"/>
  <c r="F96"/>
  <c r="F97"/>
  <c r="M96"/>
  <c r="M97"/>
  <c r="C96"/>
  <c r="C97"/>
  <c r="E96"/>
  <c r="E97"/>
  <c r="G96"/>
  <c r="G97"/>
  <c r="H96"/>
  <c r="H97"/>
  <c r="K96"/>
  <c r="K97"/>
  <c r="L96"/>
  <c r="L97"/>
  <c r="J96"/>
  <c r="J97"/>
  <c r="N87"/>
  <c r="I96"/>
  <c r="I97"/>
  <c r="J90"/>
  <c r="F90"/>
  <c r="B90"/>
  <c r="G81"/>
  <c r="K90"/>
  <c r="G90"/>
  <c r="N86"/>
  <c r="N89"/>
  <c r="N77"/>
  <c r="B78"/>
  <c r="F19" i="2"/>
  <c r="F29"/>
  <c r="F15"/>
  <c r="C90" i="1"/>
  <c r="I24"/>
  <c r="I25"/>
  <c r="I26"/>
  <c r="I27"/>
  <c r="N83"/>
  <c r="D96"/>
  <c r="D97"/>
  <c r="N67"/>
  <c r="B34"/>
  <c r="H24"/>
  <c r="H25"/>
  <c r="H26"/>
  <c r="H27"/>
  <c r="I71"/>
  <c r="J45"/>
  <c r="Q16" i="5"/>
  <c r="P32" i="6"/>
  <c r="P74"/>
  <c r="P48"/>
  <c r="N56" i="1"/>
  <c r="P57" i="6"/>
  <c r="N57" i="1"/>
  <c r="P40" i="6"/>
  <c r="N55" i="1"/>
  <c r="P66" i="6"/>
  <c r="E23"/>
  <c r="C53" i="1"/>
  <c r="N53" s="1"/>
  <c r="P20" i="6"/>
  <c r="P23"/>
  <c r="P5"/>
  <c r="P11"/>
  <c r="N31" i="1"/>
  <c r="N45"/>
  <c r="C24"/>
  <c r="C25"/>
  <c r="N74"/>
  <c r="N47"/>
  <c r="N84"/>
  <c r="N81"/>
  <c r="N78"/>
  <c r="N68"/>
  <c r="N48"/>
  <c r="N90"/>
  <c r="N51"/>
  <c r="B64"/>
  <c r="B91" s="1"/>
  <c r="J64"/>
  <c r="J91"/>
  <c r="J98" s="1"/>
  <c r="J108" s="1"/>
  <c r="N41"/>
  <c r="N24"/>
  <c r="O98"/>
  <c r="N73"/>
  <c r="C26"/>
  <c r="N26"/>
  <c r="N25"/>
  <c r="C27"/>
  <c r="N27"/>
  <c r="N95"/>
  <c r="B96"/>
  <c r="B97"/>
  <c r="N97"/>
  <c r="N96"/>
  <c r="B98" l="1"/>
  <c r="N75"/>
  <c r="L91"/>
  <c r="L98" s="1"/>
  <c r="L108" s="1"/>
  <c r="E91"/>
  <c r="E98" s="1"/>
  <c r="E108" s="1"/>
  <c r="C64"/>
  <c r="C91" s="1"/>
  <c r="C98" s="1"/>
  <c r="C108" s="1"/>
  <c r="B108" l="1"/>
  <c r="B112" s="1"/>
  <c r="N98"/>
  <c r="N108" s="1"/>
  <c r="N64"/>
  <c r="N91"/>
  <c r="B114" l="1"/>
  <c r="C106"/>
  <c r="C112" s="1"/>
  <c r="C114" l="1"/>
  <c r="D106"/>
  <c r="D112" s="1"/>
  <c r="D114" l="1"/>
  <c r="E106"/>
  <c r="E112" s="1"/>
  <c r="E114" l="1"/>
  <c r="F106"/>
  <c r="F112" s="1"/>
  <c r="G106" l="1"/>
  <c r="G112" s="1"/>
  <c r="F114"/>
  <c r="H106" l="1"/>
  <c r="H112" s="1"/>
  <c r="G114"/>
  <c r="I106" l="1"/>
  <c r="I112" s="1"/>
  <c r="H114"/>
  <c r="J106" l="1"/>
  <c r="J112" s="1"/>
  <c r="I114"/>
  <c r="J114" l="1"/>
  <c r="K106"/>
  <c r="K112" s="1"/>
  <c r="K114" l="1"/>
  <c r="L106"/>
  <c r="L112" s="1"/>
  <c r="M106" l="1"/>
  <c r="M112" s="1"/>
  <c r="L114"/>
  <c r="M114" l="1"/>
  <c r="N114" s="1"/>
  <c r="N106"/>
  <c r="N112" s="1"/>
</calcChain>
</file>

<file path=xl/sharedStrings.xml><?xml version="1.0" encoding="utf-8"?>
<sst xmlns="http://schemas.openxmlformats.org/spreadsheetml/2006/main" count="573" uniqueCount="295">
  <si>
    <t>Total</t>
  </si>
  <si>
    <t>Income</t>
  </si>
  <si>
    <t xml:space="preserve">   Revenue</t>
  </si>
  <si>
    <t xml:space="preserve">      Membership and Leagues</t>
  </si>
  <si>
    <t xml:space="preserve">         4-1001 Adult Memberships (Winter)</t>
  </si>
  <si>
    <t xml:space="preserve">         4-1002 Junior Memberships (Winter)</t>
  </si>
  <si>
    <t xml:space="preserve">         4-1003 Adult Membership (Summer)</t>
  </si>
  <si>
    <t xml:space="preserve">         4-1004 Junior Memberships (Summer)</t>
  </si>
  <si>
    <t xml:space="preserve">         4-1005 Junior Lessons (Summer)</t>
  </si>
  <si>
    <t xml:space="preserve">         4-1006 Student Memberships</t>
  </si>
  <si>
    <t xml:space="preserve">         4-1007 Family Memberships (Summer)</t>
  </si>
  <si>
    <t xml:space="preserve">         4-1008 Guest Fees</t>
  </si>
  <si>
    <t xml:space="preserve">         4-1010 League Fees (Winter)</t>
  </si>
  <si>
    <t xml:space="preserve">         4-1011 Junior Lessons (Winter)</t>
  </si>
  <si>
    <t xml:space="preserve">         4-1018 Junior Match Play Winter</t>
  </si>
  <si>
    <t xml:space="preserve">         4-1019 Summer Junior TNT Match Play</t>
  </si>
  <si>
    <t xml:space="preserve">         4-1020 Tournment Revenues</t>
  </si>
  <si>
    <t xml:space="preserve">         4-1031 Banquet</t>
  </si>
  <si>
    <t xml:space="preserve">         4-2000 Deferred Revenue</t>
  </si>
  <si>
    <t xml:space="preserve">      Total Membership and Leagues</t>
  </si>
  <si>
    <t xml:space="preserve">   Total Revenue</t>
  </si>
  <si>
    <t>Total Income</t>
  </si>
  <si>
    <t>Gross Profit</t>
  </si>
  <si>
    <t>Expenses</t>
  </si>
  <si>
    <t xml:space="preserve">   Accounting and Legal Expense</t>
  </si>
  <si>
    <t xml:space="preserve">      6-2000 Accounting &amp; Legal</t>
  </si>
  <si>
    <t xml:space="preserve">   Total Accounting and Legal Expense</t>
  </si>
  <si>
    <t xml:space="preserve">   Bank Charge</t>
  </si>
  <si>
    <t xml:space="preserve">      6-3000 Bank Charges</t>
  </si>
  <si>
    <t xml:space="preserve">   Total Bank Charge</t>
  </si>
  <si>
    <t xml:space="preserve">   Bubble up and Down</t>
  </si>
  <si>
    <t xml:space="preserve">      6-1400 Bubble up expense</t>
  </si>
  <si>
    <t xml:space="preserve">      6-1401 Bubble Down Expense</t>
  </si>
  <si>
    <t xml:space="preserve">   Total Bubble up and Down</t>
  </si>
  <si>
    <t xml:space="preserve">   Insurance Premiums</t>
  </si>
  <si>
    <t xml:space="preserve">      6-1700 Insurance</t>
  </si>
  <si>
    <t xml:space="preserve">   Total Insurance Premiums</t>
  </si>
  <si>
    <t xml:space="preserve">   Office Expenses</t>
  </si>
  <si>
    <t xml:space="preserve">      6-1206 Website</t>
  </si>
  <si>
    <t xml:space="preserve">      6-5100 Office Supplies &amp; Expenses</t>
  </si>
  <si>
    <t xml:space="preserve">   Total Office Expenses</t>
  </si>
  <si>
    <t xml:space="preserve">   On-line Booking Software</t>
  </si>
  <si>
    <t xml:space="preserve">      6-1205 Online Court Booking Software</t>
  </si>
  <si>
    <t xml:space="preserve">   Total On-line Booking Software</t>
  </si>
  <si>
    <t xml:space="preserve">   Ontario Tennis Association Fees</t>
  </si>
  <si>
    <t xml:space="preserve">      6-1600 OTA Fee</t>
  </si>
  <si>
    <t xml:space="preserve">   Total Ontario Tennis Association Fees</t>
  </si>
  <si>
    <t xml:space="preserve">   Repairs, Maintenance and Cleaning</t>
  </si>
  <si>
    <t xml:space="preserve">      6-1200 Clubhouse Cleaning &amp; Supplies</t>
  </si>
  <si>
    <t xml:space="preserve">      6-1201 Clubhouse Repairs</t>
  </si>
  <si>
    <t xml:space="preserve">      6-2200 Maintenance  (Summer)</t>
  </si>
  <si>
    <t xml:space="preserve">      6-2201 Maintenance (Winter)</t>
  </si>
  <si>
    <t xml:space="preserve">      6-2203 Snow Clearing</t>
  </si>
  <si>
    <t xml:space="preserve">      6-2205 Heating Equipment R&amp;M</t>
  </si>
  <si>
    <t xml:space="preserve">      6-2206 Equipment purchases</t>
  </si>
  <si>
    <t xml:space="preserve">      6-2501 Garden Materials</t>
  </si>
  <si>
    <t xml:space="preserve">      6-2502 Garden Work</t>
  </si>
  <si>
    <t xml:space="preserve">      7-2500 Outside Light Bulb Replacement.</t>
  </si>
  <si>
    <t xml:space="preserve">   Total Repairs, Maintenance and Cleaning</t>
  </si>
  <si>
    <t xml:space="preserve">   Social Events</t>
  </si>
  <si>
    <t xml:space="preserve">      6-1005 Social Events (Summer)</t>
  </si>
  <si>
    <t xml:space="preserve">      6-1006 Social Events (Winter)</t>
  </si>
  <si>
    <t xml:space="preserve">   Total Social Events</t>
  </si>
  <si>
    <t xml:space="preserve">   Tennis Balls</t>
  </si>
  <si>
    <t xml:space="preserve">      6-1003 Tennis Balls (Winter)</t>
  </si>
  <si>
    <t xml:space="preserve">   Total Tennis Balls</t>
  </si>
  <si>
    <t xml:space="preserve">   Tennis Pros and Assistants</t>
  </si>
  <si>
    <t xml:space="preserve">      6-1001 Professional Fees</t>
  </si>
  <si>
    <t xml:space="preserve">      6-1002 Professional Assistants</t>
  </si>
  <si>
    <t xml:space="preserve">   Total Tennis Pros and Assistants</t>
  </si>
  <si>
    <t xml:space="preserve">   Tournament and League Expenses</t>
  </si>
  <si>
    <t xml:space="preserve">      6-1007 Tournament expenses</t>
  </si>
  <si>
    <t xml:space="preserve">   Total Tournament and League Expenses</t>
  </si>
  <si>
    <t xml:space="preserve">   Training and Development</t>
  </si>
  <si>
    <t xml:space="preserve">      6-4000 Training &amp; Development</t>
  </si>
  <si>
    <t xml:space="preserve">   Total Training and Development</t>
  </si>
  <si>
    <t xml:space="preserve">   Travel and Entertainment</t>
  </si>
  <si>
    <t xml:space="preserve">      6-5300 Travel  &amp; Entertainment</t>
  </si>
  <si>
    <t xml:space="preserve">   Total Travel and Entertainment</t>
  </si>
  <si>
    <t xml:space="preserve">   Utilities and Telephone</t>
  </si>
  <si>
    <t xml:space="preserve">      6-5200 Telephone</t>
  </si>
  <si>
    <t xml:space="preserve">      6-5410 Hydro</t>
  </si>
  <si>
    <t xml:space="preserve">      6-5420 Gas</t>
  </si>
  <si>
    <t xml:space="preserve">      6-5430 Water &amp; Sewage</t>
  </si>
  <si>
    <t xml:space="preserve">   Total Utilities and Telephone</t>
  </si>
  <si>
    <t>Total Expenses</t>
  </si>
  <si>
    <t>Other Expenses</t>
  </si>
  <si>
    <t xml:space="preserve">   Other (Income) Expenses</t>
  </si>
  <si>
    <t xml:space="preserve">      7-2000 COB Capital Improvements</t>
  </si>
  <si>
    <t xml:space="preserve">      8-1000 Investment Income</t>
  </si>
  <si>
    <t xml:space="preserve">   Total Other (Income) Expenses</t>
  </si>
  <si>
    <t>Total Other Expenses</t>
  </si>
  <si>
    <t>Profit</t>
  </si>
  <si>
    <t>ALDERSHOT TENNIS CLUB</t>
  </si>
  <si>
    <t>STATEMENT OF REVENUES AND EXPENSES</t>
  </si>
  <si>
    <t>October 2016 - September 2017</t>
  </si>
  <si>
    <t>Revenue Budget</t>
  </si>
  <si>
    <t>2016/2017</t>
  </si>
  <si>
    <t>Winter</t>
  </si>
  <si>
    <t>Adult</t>
  </si>
  <si>
    <t>Number</t>
  </si>
  <si>
    <t>Rate</t>
  </si>
  <si>
    <t>(Excl HST)</t>
  </si>
  <si>
    <t>Junior</t>
  </si>
  <si>
    <t>Revenue</t>
  </si>
  <si>
    <t>Student</t>
  </si>
  <si>
    <t>Junior Program</t>
  </si>
  <si>
    <t>1 Session</t>
  </si>
  <si>
    <t>2 session</t>
  </si>
  <si>
    <t>Junior Match Play</t>
  </si>
  <si>
    <t>Summer</t>
  </si>
  <si>
    <t>Family</t>
  </si>
  <si>
    <t>Junior TNT</t>
  </si>
  <si>
    <t>Total Summer</t>
  </si>
  <si>
    <t>Total Revenue</t>
  </si>
  <si>
    <t>Total Winter</t>
  </si>
  <si>
    <t>Banquet</t>
  </si>
  <si>
    <t xml:space="preserve">Aldershot Tennis Club </t>
  </si>
  <si>
    <t>Aldershot Tennis Club</t>
  </si>
  <si>
    <t>OTA Membership Reconciliation 2016</t>
  </si>
  <si>
    <t>OTA Billed</t>
  </si>
  <si>
    <t>Diff</t>
  </si>
  <si>
    <t>Owing</t>
  </si>
  <si>
    <t>Adult - Full</t>
  </si>
  <si>
    <t xml:space="preserve">Student </t>
  </si>
  <si>
    <t xml:space="preserve">     Full time</t>
  </si>
  <si>
    <t>Juniors - Full</t>
  </si>
  <si>
    <t>Calculation</t>
  </si>
  <si>
    <t># Members</t>
  </si>
  <si>
    <t>(Incl HST)</t>
  </si>
  <si>
    <t>Budget</t>
  </si>
  <si>
    <t>Prior Year</t>
  </si>
  <si>
    <t>Guest Fees</t>
  </si>
  <si>
    <t>Prior year included debit machine for $600k</t>
  </si>
  <si>
    <t>See worksheet OTA Fees</t>
  </si>
  <si>
    <t>See worksheet Revenue</t>
  </si>
  <si>
    <t>Account QuickReport</t>
  </si>
  <si>
    <t>October 2015 - September 2016</t>
  </si>
  <si>
    <t>Date</t>
  </si>
  <si>
    <t>Transaction Type</t>
  </si>
  <si>
    <t>#</t>
  </si>
  <si>
    <t>Name</t>
  </si>
  <si>
    <t>Memo/Description</t>
  </si>
  <si>
    <t>Account</t>
  </si>
  <si>
    <t>Clr</t>
  </si>
  <si>
    <t>Amount</t>
  </si>
  <si>
    <t>Balance</t>
  </si>
  <si>
    <t>Repairs, Maintenance and Cleaning</t>
  </si>
  <si>
    <t xml:space="preserve">   6-1201 Clubhouse Repairs</t>
  </si>
  <si>
    <t>30/04/2016</t>
  </si>
  <si>
    <t>Bill</t>
  </si>
  <si>
    <t>Harris, Paul</t>
  </si>
  <si>
    <t>6-1201 Repairs, Maintenance and Cleaning:Clubhouse Repairs</t>
  </si>
  <si>
    <t>30/09/2016</t>
  </si>
  <si>
    <t>Sept Expenses</t>
  </si>
  <si>
    <t xml:space="preserve">   Total for 6-1201 Clubhouse Repairs</t>
  </si>
  <si>
    <t>Total for Repairs, Maintenance and Cleaning</t>
  </si>
  <si>
    <t>TOTAL</t>
  </si>
  <si>
    <t>Tuesday, Oct 18, 2016 07:33:19 AM PDT GMT-4</t>
  </si>
  <si>
    <t xml:space="preserve">   6-1202 Court Cleaning &amp; Maintenance</t>
  </si>
  <si>
    <t>04/12/2015</t>
  </si>
  <si>
    <t>Cheque Expense</t>
  </si>
  <si>
    <t>Blake, Gerry</t>
  </si>
  <si>
    <t>6-1202 Repairs, Maintenance and Cleaning:Court Cleaning &amp; Maintenance</t>
  </si>
  <si>
    <t>11/01/2016</t>
  </si>
  <si>
    <t>08/02/2016</t>
  </si>
  <si>
    <t>28/02/2016</t>
  </si>
  <si>
    <t>Feb Expenses</t>
  </si>
  <si>
    <t>30/03/2016</t>
  </si>
  <si>
    <t>March</t>
  </si>
  <si>
    <t>April</t>
  </si>
  <si>
    <t>30/06/2016</t>
  </si>
  <si>
    <t>Journal Entry</t>
  </si>
  <si>
    <t>Adjust Gerry Blake Chq 2224</t>
  </si>
  <si>
    <t>Court repairs</t>
  </si>
  <si>
    <t xml:space="preserve">   Total for 6-1202 Court Cleaning &amp; Maintenance</t>
  </si>
  <si>
    <t>Tuesday, Oct 18, 2016 07:34:24 AM PDT GMT-4</t>
  </si>
  <si>
    <t xml:space="preserve">   6-2200 Maintenance  (Summer)</t>
  </si>
  <si>
    <t>31/05/2016</t>
  </si>
  <si>
    <t>May</t>
  </si>
  <si>
    <t>6-2200 Repairs, Maintenance and Cleaning:Maintenance  (Summer)</t>
  </si>
  <si>
    <t>01/07/2016</t>
  </si>
  <si>
    <t>June Expenses</t>
  </si>
  <si>
    <t xml:space="preserve">   Total for 6-2200 Maintenance  (Summer)</t>
  </si>
  <si>
    <t>Tuesday, Oct 18, 2016 07:35:30 AM PDT GMT-4</t>
  </si>
  <si>
    <t xml:space="preserve">   6-2201 Maintenance (Winter)</t>
  </si>
  <si>
    <t>16/10/2015</t>
  </si>
  <si>
    <t>6-2201 Repairs, Maintenance and Cleaning:Maintenance (Winter)</t>
  </si>
  <si>
    <t>06/11/2015</t>
  </si>
  <si>
    <t>Wood Electrical</t>
  </si>
  <si>
    <t>09/11/2015</t>
  </si>
  <si>
    <t>OCI</t>
  </si>
  <si>
    <t>27/11/2015</t>
  </si>
  <si>
    <t>gerrie electric</t>
  </si>
  <si>
    <t>Gray, Steve</t>
  </si>
  <si>
    <t>11/12/2015</t>
  </si>
  <si>
    <t>22/01/2016</t>
  </si>
  <si>
    <t>23/01/2016</t>
  </si>
  <si>
    <t>A-94235</t>
  </si>
  <si>
    <t>Rentm Heated Construction</t>
  </si>
  <si>
    <t>20/02/2016</t>
  </si>
  <si>
    <t>Supplier Credit</t>
  </si>
  <si>
    <t>A-94365</t>
  </si>
  <si>
    <t>26/02/2016</t>
  </si>
  <si>
    <t>March expense</t>
  </si>
  <si>
    <t xml:space="preserve">   Total for 6-2201 Maintenance (Winter)</t>
  </si>
  <si>
    <t xml:space="preserve">   6-2205 Heating Equipment R&amp;M</t>
  </si>
  <si>
    <t>01/05/2016</t>
  </si>
  <si>
    <t>Co24327</t>
  </si>
  <si>
    <t>United Technologies</t>
  </si>
  <si>
    <t>Preventative Mntc Semiannual bill</t>
  </si>
  <si>
    <t>6-2205 Repairs, Maintenance and Cleaning:Heating Equipment R&amp;M</t>
  </si>
  <si>
    <t>Blower repair</t>
  </si>
  <si>
    <t xml:space="preserve">   Total for 6-2205 Heating Equipment R&amp;M</t>
  </si>
  <si>
    <t>Tuesday, Oct 18, 2016 07:37:17 AM PDT GMT-4</t>
  </si>
  <si>
    <t>Just Tennis</t>
  </si>
  <si>
    <t>Net Straps</t>
  </si>
  <si>
    <t>Criag Lomas Commision 8%</t>
  </si>
  <si>
    <t>Should the revenue collected cover cost of tournament?</t>
  </si>
  <si>
    <t>No revenue or expenses included in this draft</t>
  </si>
  <si>
    <t>Need the project cash flow to work out interest income</t>
  </si>
  <si>
    <t>Gerry to review whole section</t>
  </si>
  <si>
    <t>Clubhouse cash flows required</t>
  </si>
  <si>
    <t>Assistant Pro Budget</t>
  </si>
  <si>
    <t>$175/wk 10/wk Oct - Dec 10 weeks</t>
  </si>
  <si>
    <t>$175/wk 10/wk Jan - Mar  10 weeks</t>
  </si>
  <si>
    <t>Kyle Martin and Alex Marck</t>
  </si>
  <si>
    <t>$110/wk 10/wk Oct - Dec 10 weeks</t>
  </si>
  <si>
    <t>Peter Buckley</t>
  </si>
  <si>
    <t>$105/wk Fall/winter 20 weeks</t>
  </si>
  <si>
    <t>Match play and TNT</t>
  </si>
  <si>
    <t>$105/wk Spring/summer 17 weeks</t>
  </si>
  <si>
    <t>Tennis Pros and Assistants</t>
  </si>
  <si>
    <t xml:space="preserve">   6-1002 Professional Assistants</t>
  </si>
  <si>
    <t>23/10/2015</t>
  </si>
  <si>
    <t>Buckley, Peter</t>
  </si>
  <si>
    <t>6-1002 Tennis Pros and Assistants:Professional Assistants</t>
  </si>
  <si>
    <t>Aiden Buckley</t>
  </si>
  <si>
    <t>15/11/2015</t>
  </si>
  <si>
    <t>Sousa, Paula</t>
  </si>
  <si>
    <t>Josh Rudolph</t>
  </si>
  <si>
    <t>Kyle Martin</t>
  </si>
  <si>
    <t>12/02/2016</t>
  </si>
  <si>
    <t>23/02/2016</t>
  </si>
  <si>
    <t>Feb/Mar</t>
  </si>
  <si>
    <t>Mar &amp; Apr</t>
  </si>
  <si>
    <t>Junior play and tournament</t>
  </si>
  <si>
    <t>S Junior</t>
  </si>
  <si>
    <t>McLaughlin, Avery</t>
  </si>
  <si>
    <t>Summer Junior Program</t>
  </si>
  <si>
    <t>August and September</t>
  </si>
  <si>
    <t>ATC Fun Day</t>
  </si>
  <si>
    <t xml:space="preserve">   Total for 6-1002 Professional Assistants</t>
  </si>
  <si>
    <t>Total for Tennis Pros and Assistants</t>
  </si>
  <si>
    <t>October 1, 2016 to September 30, 2017</t>
  </si>
  <si>
    <t xml:space="preserve">Kyle Martin </t>
  </si>
  <si>
    <t>Paula Sousa</t>
  </si>
  <si>
    <t>Avery McLauglin</t>
  </si>
  <si>
    <t>Clubhhouse cleaning and supplies</t>
  </si>
  <si>
    <t>Supplies</t>
  </si>
  <si>
    <t>Jennifer Irvine</t>
  </si>
  <si>
    <t>Radigan Bros</t>
  </si>
  <si>
    <t>Laurie Kyslie</t>
  </si>
  <si>
    <t>Hilda Cirotto</t>
  </si>
  <si>
    <t>Year ended September 30, 2016</t>
  </si>
  <si>
    <t>October 1, 2016 - September 30, 2017</t>
  </si>
  <si>
    <t>Repairs Maintenance and Cleaning</t>
  </si>
  <si>
    <t>Clubhouse Cleaning &amp; Supplies</t>
  </si>
  <si>
    <t>6-1200</t>
  </si>
  <si>
    <t>Clubhouse Repairs</t>
  </si>
  <si>
    <t>6-1201</t>
  </si>
  <si>
    <t>6-1202</t>
  </si>
  <si>
    <t xml:space="preserve">Court Cleaning </t>
  </si>
  <si>
    <t>Gerry Blake</t>
  </si>
  <si>
    <t xml:space="preserve">      6-1202 Court Cleaning </t>
  </si>
  <si>
    <t>Summer Maintenance</t>
  </si>
  <si>
    <t>Paul Harris</t>
  </si>
  <si>
    <t>Winter Maintenance</t>
  </si>
  <si>
    <t>6-2200</t>
  </si>
  <si>
    <t>6-2201</t>
  </si>
  <si>
    <t>Snow Clearing</t>
  </si>
  <si>
    <t>6-2203</t>
  </si>
  <si>
    <t>Complete Landscape and Construction</t>
  </si>
  <si>
    <t>6-2205</t>
  </si>
  <si>
    <t>Heating Equipment R &amp; M</t>
  </si>
  <si>
    <t>Match play could be in prior year membership revenue</t>
  </si>
  <si>
    <t>Opening Cash</t>
  </si>
  <si>
    <t xml:space="preserve">     First Ontario</t>
  </si>
  <si>
    <t xml:space="preserve">    Deferred Revenue</t>
  </si>
  <si>
    <t xml:space="preserve">    Net Cash</t>
  </si>
  <si>
    <t>Monthly Profit</t>
  </si>
  <si>
    <t>Closing Cash</t>
  </si>
  <si>
    <t>Interest</t>
  </si>
  <si>
    <t>Clubhouse Project</t>
  </si>
  <si>
    <t>Investment Income</t>
  </si>
</sst>
</file>

<file path=xl/styles.xml><?xml version="1.0" encoding="utf-8"?>
<styleSheet xmlns="http://schemas.openxmlformats.org/spreadsheetml/2006/main">
  <numFmts count="2">
    <numFmt numFmtId="172" formatCode="#,##0.00\ _€"/>
    <numFmt numFmtId="173" formatCode="&quot;$&quot;* #,##0.00\ _€"/>
  </numFmts>
  <fonts count="15">
    <font>
      <sz val="10"/>
      <name val="Arial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72" fontId="3" fillId="0" borderId="0" xfId="0" applyNumberFormat="1" applyFont="1" applyAlignment="1">
      <alignment wrapText="1"/>
    </xf>
    <xf numFmtId="172" fontId="3" fillId="0" borderId="0" xfId="0" applyNumberFormat="1" applyFont="1" applyAlignment="1">
      <alignment horizontal="right" wrapText="1"/>
    </xf>
    <xf numFmtId="173" fontId="2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center" wrapText="1"/>
    </xf>
    <xf numFmtId="0" fontId="14" fillId="0" borderId="0" xfId="0" applyFont="1"/>
    <xf numFmtId="0" fontId="14" fillId="0" borderId="0" xfId="0" quotePrefix="1" applyFont="1"/>
    <xf numFmtId="0" fontId="6" fillId="0" borderId="0" xfId="0" applyFont="1"/>
    <xf numFmtId="0" fontId="5" fillId="0" borderId="0" xfId="0" quotePrefix="1" applyFont="1" applyAlignment="1">
      <alignment horizontal="center"/>
    </xf>
    <xf numFmtId="37" fontId="0" fillId="0" borderId="0" xfId="0" applyNumberFormat="1"/>
    <xf numFmtId="0" fontId="5" fillId="0" borderId="0" xfId="0" applyFont="1"/>
    <xf numFmtId="37" fontId="0" fillId="0" borderId="3" xfId="0" applyNumberFormat="1" applyBorder="1"/>
    <xf numFmtId="37" fontId="0" fillId="0" borderId="0" xfId="0" applyNumberFormat="1" applyBorder="1"/>
    <xf numFmtId="37" fontId="0" fillId="0" borderId="4" xfId="0" applyNumberFormat="1" applyBorder="1"/>
    <xf numFmtId="37" fontId="0" fillId="0" borderId="5" xfId="0" applyNumberFormat="1" applyBorder="1"/>
    <xf numFmtId="0" fontId="0" fillId="0" borderId="0" xfId="0" applyFont="1"/>
    <xf numFmtId="0" fontId="14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172" fontId="3" fillId="2" borderId="0" xfId="0" applyNumberFormat="1" applyFont="1" applyFill="1" applyAlignment="1">
      <alignment horizontal="right" wrapText="1"/>
    </xf>
    <xf numFmtId="172" fontId="3" fillId="2" borderId="0" xfId="0" applyNumberFormat="1" applyFont="1" applyFill="1" applyAlignment="1">
      <alignment wrapText="1"/>
    </xf>
    <xf numFmtId="172" fontId="3" fillId="0" borderId="0" xfId="0" applyNumberFormat="1" applyFont="1" applyFill="1" applyAlignment="1">
      <alignment horizontal="right" wrapText="1"/>
    </xf>
    <xf numFmtId="173" fontId="2" fillId="0" borderId="2" xfId="0" applyNumberFormat="1" applyFont="1" applyFill="1" applyBorder="1" applyAlignment="1">
      <alignment horizontal="right" wrapText="1"/>
    </xf>
    <xf numFmtId="172" fontId="3" fillId="0" borderId="0" xfId="0" applyNumberFormat="1" applyFont="1" applyFill="1" applyAlignment="1">
      <alignment wrapText="1"/>
    </xf>
    <xf numFmtId="0" fontId="3" fillId="0" borderId="0" xfId="0" applyFont="1" applyAlignment="1">
      <alignment horizontal="left" wrapText="1"/>
    </xf>
    <xf numFmtId="0" fontId="0" fillId="0" borderId="3" xfId="0" applyBorder="1"/>
    <xf numFmtId="0" fontId="9" fillId="0" borderId="6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72" fontId="11" fillId="0" borderId="0" xfId="0" applyNumberFormat="1" applyFont="1" applyAlignment="1">
      <alignment horizontal="right" wrapText="1"/>
    </xf>
    <xf numFmtId="173" fontId="10" fillId="0" borderId="7" xfId="0" applyNumberFormat="1" applyFont="1" applyBorder="1" applyAlignment="1">
      <alignment horizontal="right" wrapText="1"/>
    </xf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Fill="1" applyBorder="1"/>
    <xf numFmtId="17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" fontId="0" fillId="0" borderId="3" xfId="0" applyNumberFormat="1" applyBorder="1"/>
    <xf numFmtId="4" fontId="12" fillId="0" borderId="0" xfId="0" applyNumberFormat="1" applyFont="1" applyBorder="1" applyAlignment="1">
      <alignment horizontal="right" wrapText="1"/>
    </xf>
    <xf numFmtId="39" fontId="12" fillId="0" borderId="0" xfId="0" applyNumberFormat="1" applyFont="1" applyBorder="1" applyAlignment="1">
      <alignment horizontal="right" wrapText="1"/>
    </xf>
    <xf numFmtId="39" fontId="6" fillId="0" borderId="0" xfId="0" applyNumberFormat="1" applyFont="1" applyAlignment="1">
      <alignment horizontal="righ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13" fillId="0" borderId="0" xfId="0" applyFont="1"/>
    <xf numFmtId="0" fontId="4" fillId="0" borderId="0" xfId="0" applyFont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4" fillId="0" borderId="0" xfId="0" applyFont="1"/>
    <xf numFmtId="0" fontId="13" fillId="0" borderId="0" xfId="0" applyFont="1" applyAlignment="1">
      <alignment horizontal="left"/>
    </xf>
    <xf numFmtId="17" fontId="13" fillId="0" borderId="0" xfId="0" quotePrefix="1" applyNumberFormat="1" applyFont="1" applyAlignment="1">
      <alignment horizontal="left"/>
    </xf>
    <xf numFmtId="38" fontId="0" fillId="0" borderId="0" xfId="0" applyNumberFormat="1"/>
    <xf numFmtId="38" fontId="0" fillId="0" borderId="3" xfId="0" applyNumberFormat="1" applyBorder="1"/>
    <xf numFmtId="38" fontId="6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4"/>
  <sheetViews>
    <sheetView tabSelected="1" workbookViewId="0">
      <selection activeCell="P102" sqref="P102"/>
    </sheetView>
  </sheetViews>
  <sheetFormatPr defaultRowHeight="12.75"/>
  <cols>
    <col min="1" max="1" width="38.7109375" customWidth="1"/>
    <col min="2" max="16" width="10.7109375" customWidth="1"/>
  </cols>
  <sheetData>
    <row r="1" spans="1:16" ht="18">
      <c r="A1" s="54" t="s">
        <v>93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6" ht="18">
      <c r="A2" s="54" t="s">
        <v>94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6">
      <c r="A3" s="56" t="s">
        <v>95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5" spans="1:16" ht="12.75" customHeight="1">
      <c r="A5" s="1"/>
      <c r="B5" s="8">
        <v>42644</v>
      </c>
      <c r="C5" s="8">
        <v>42675</v>
      </c>
      <c r="D5" s="8">
        <v>42705</v>
      </c>
      <c r="E5" s="8">
        <v>42736</v>
      </c>
      <c r="F5" s="8">
        <v>42767</v>
      </c>
      <c r="G5" s="8">
        <v>42795</v>
      </c>
      <c r="H5" s="8">
        <v>42826</v>
      </c>
      <c r="I5" s="8">
        <v>42856</v>
      </c>
      <c r="J5" s="8">
        <v>42887</v>
      </c>
      <c r="K5" s="8">
        <v>42917</v>
      </c>
      <c r="L5" s="8">
        <v>42948</v>
      </c>
      <c r="M5" s="8">
        <v>42979</v>
      </c>
      <c r="N5" s="2" t="s">
        <v>0</v>
      </c>
      <c r="O5" s="7" t="s">
        <v>131</v>
      </c>
    </row>
    <row r="6" spans="1:16" ht="12.75" customHeight="1">
      <c r="A6" s="3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ht="12.75" customHeight="1">
      <c r="A7" s="3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>
        <f t="shared" ref="N7:N27" si="0">(((((((((((B7)+(C7))+(D7))+(E7))+(F7))+(G7))+(H7))+(I7))+(J7))+(K7))+(L7))+(M7)</f>
        <v>0</v>
      </c>
      <c r="O7" s="24">
        <v>0</v>
      </c>
    </row>
    <row r="8" spans="1:16" ht="12.75" customHeight="1">
      <c r="A8" s="3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>
        <f t="shared" si="0"/>
        <v>0</v>
      </c>
      <c r="O8" s="24">
        <v>0</v>
      </c>
    </row>
    <row r="9" spans="1:16" ht="12.75" customHeight="1">
      <c r="A9" s="3" t="s">
        <v>4</v>
      </c>
      <c r="B9" s="5">
        <v>144875</v>
      </c>
      <c r="C9" s="5">
        <v>16098</v>
      </c>
      <c r="D9" s="5"/>
      <c r="E9" s="5"/>
      <c r="F9" s="5"/>
      <c r="G9" s="4"/>
      <c r="H9" s="4"/>
      <c r="I9" s="4"/>
      <c r="J9" s="4"/>
      <c r="K9" s="4"/>
      <c r="L9" s="5"/>
      <c r="M9" s="4"/>
      <c r="N9" s="5">
        <f t="shared" si="0"/>
        <v>160973</v>
      </c>
      <c r="O9" s="24">
        <v>157678.46</v>
      </c>
    </row>
    <row r="10" spans="1:16" ht="12.75" customHeight="1">
      <c r="A10" s="3" t="s">
        <v>5</v>
      </c>
      <c r="B10" s="5">
        <v>3982</v>
      </c>
      <c r="C10" s="5">
        <f>4425-B10</f>
        <v>443</v>
      </c>
      <c r="D10" s="5"/>
      <c r="E10" s="5"/>
      <c r="F10" s="5"/>
      <c r="G10" s="4"/>
      <c r="H10" s="4"/>
      <c r="I10" s="4"/>
      <c r="J10" s="4"/>
      <c r="K10" s="4"/>
      <c r="L10" s="4"/>
      <c r="M10" s="4"/>
      <c r="N10" s="22">
        <f t="shared" si="0"/>
        <v>4425</v>
      </c>
      <c r="O10" s="24">
        <v>8241.75</v>
      </c>
      <c r="P10" s="11" t="s">
        <v>285</v>
      </c>
    </row>
    <row r="11" spans="1:16" ht="12.75" customHeight="1">
      <c r="A11" s="3" t="s">
        <v>6</v>
      </c>
      <c r="B11" s="4"/>
      <c r="C11" s="4"/>
      <c r="D11" s="4"/>
      <c r="E11" s="4"/>
      <c r="F11" s="4"/>
      <c r="G11" s="4"/>
      <c r="H11" s="5">
        <v>2876</v>
      </c>
      <c r="I11" s="5">
        <v>2300</v>
      </c>
      <c r="J11" s="5">
        <v>576</v>
      </c>
      <c r="K11" s="5"/>
      <c r="L11" s="4"/>
      <c r="M11" s="4"/>
      <c r="N11" s="5">
        <f t="shared" si="0"/>
        <v>5752</v>
      </c>
      <c r="O11" s="24">
        <v>6504.42</v>
      </c>
    </row>
    <row r="12" spans="1:16" ht="12.75" customHeight="1">
      <c r="A12" s="3" t="s">
        <v>7</v>
      </c>
      <c r="B12" s="4"/>
      <c r="C12" s="4"/>
      <c r="D12" s="4"/>
      <c r="E12" s="4"/>
      <c r="F12" s="4"/>
      <c r="G12" s="4"/>
      <c r="H12" s="5">
        <v>110</v>
      </c>
      <c r="I12" s="5">
        <v>111</v>
      </c>
      <c r="J12" s="4"/>
      <c r="K12" s="4"/>
      <c r="L12" s="4"/>
      <c r="M12" s="4"/>
      <c r="N12" s="5">
        <f t="shared" si="0"/>
        <v>221</v>
      </c>
      <c r="O12" s="24">
        <v>177</v>
      </c>
    </row>
    <row r="13" spans="1:16" ht="12.75" customHeight="1">
      <c r="A13" s="3" t="s">
        <v>8</v>
      </c>
      <c r="B13" s="4"/>
      <c r="C13" s="4"/>
      <c r="D13" s="4"/>
      <c r="E13" s="4"/>
      <c r="F13" s="4"/>
      <c r="G13" s="4"/>
      <c r="H13" s="5">
        <v>995</v>
      </c>
      <c r="I13" s="5">
        <v>796</v>
      </c>
      <c r="J13" s="5">
        <v>200</v>
      </c>
      <c r="K13" s="4"/>
      <c r="L13" s="4"/>
      <c r="M13" s="4"/>
      <c r="N13" s="5">
        <f t="shared" si="0"/>
        <v>1991</v>
      </c>
      <c r="O13" s="24">
        <v>1714.61</v>
      </c>
    </row>
    <row r="14" spans="1:16" ht="12.75" customHeight="1">
      <c r="A14" s="3" t="s">
        <v>9</v>
      </c>
      <c r="B14" s="5">
        <v>2389</v>
      </c>
      <c r="C14" s="5">
        <f>2655-B14</f>
        <v>266</v>
      </c>
      <c r="D14" s="5"/>
      <c r="E14" s="5"/>
      <c r="F14" s="4"/>
      <c r="G14" s="4"/>
      <c r="H14" s="5">
        <v>66</v>
      </c>
      <c r="I14" s="5"/>
      <c r="J14" s="5"/>
      <c r="K14" s="4"/>
      <c r="L14" s="4"/>
      <c r="M14" s="4"/>
      <c r="N14" s="5">
        <f t="shared" si="0"/>
        <v>2721</v>
      </c>
      <c r="O14" s="24">
        <v>3017.69</v>
      </c>
    </row>
    <row r="15" spans="1:16" ht="12.75" customHeight="1">
      <c r="A15" s="3" t="s">
        <v>10</v>
      </c>
      <c r="B15" s="4"/>
      <c r="C15" s="4"/>
      <c r="D15" s="4"/>
      <c r="E15" s="4"/>
      <c r="F15" s="4"/>
      <c r="G15" s="4"/>
      <c r="H15" s="5">
        <v>1115</v>
      </c>
      <c r="I15" s="5">
        <v>892</v>
      </c>
      <c r="J15" s="4">
        <v>223</v>
      </c>
      <c r="K15" s="5"/>
      <c r="L15" s="4"/>
      <c r="M15" s="4"/>
      <c r="N15" s="5">
        <f t="shared" si="0"/>
        <v>2230</v>
      </c>
      <c r="O15" s="24">
        <v>2787.6</v>
      </c>
    </row>
    <row r="16" spans="1:16" ht="12.75" customHeight="1">
      <c r="A16" s="3" t="s">
        <v>11</v>
      </c>
      <c r="B16" s="5">
        <v>600</v>
      </c>
      <c r="C16" s="5">
        <v>600</v>
      </c>
      <c r="D16" s="5">
        <v>600</v>
      </c>
      <c r="E16" s="5">
        <v>600</v>
      </c>
      <c r="F16" s="5">
        <v>600</v>
      </c>
      <c r="G16" s="5">
        <v>600</v>
      </c>
      <c r="H16" s="5">
        <v>600</v>
      </c>
      <c r="I16" s="4">
        <v>100</v>
      </c>
      <c r="J16" s="4">
        <v>100</v>
      </c>
      <c r="K16" s="4">
        <v>100</v>
      </c>
      <c r="L16" s="4">
        <v>100</v>
      </c>
      <c r="M16" s="4">
        <v>100</v>
      </c>
      <c r="N16" s="5">
        <f t="shared" si="0"/>
        <v>4700</v>
      </c>
      <c r="O16" s="24">
        <v>4664.6899999999996</v>
      </c>
    </row>
    <row r="17" spans="1:16" ht="12.75" customHeight="1">
      <c r="A17" s="3" t="s">
        <v>12</v>
      </c>
      <c r="B17" s="4"/>
      <c r="C17" s="4"/>
      <c r="D17" s="4"/>
      <c r="E17" s="4"/>
      <c r="F17" s="4"/>
      <c r="G17" s="4"/>
      <c r="H17" s="4"/>
      <c r="I17" s="4"/>
      <c r="J17" s="5"/>
      <c r="K17" s="4"/>
      <c r="L17" s="4"/>
      <c r="M17" s="4"/>
      <c r="N17" s="5">
        <f t="shared" si="0"/>
        <v>0</v>
      </c>
      <c r="O17" s="24">
        <v>-39.82</v>
      </c>
    </row>
    <row r="18" spans="1:16" ht="12.75" customHeight="1">
      <c r="A18" s="3" t="s">
        <v>13</v>
      </c>
      <c r="B18" s="5">
        <v>7723</v>
      </c>
      <c r="C18" s="5">
        <v>664</v>
      </c>
      <c r="D18" s="4"/>
      <c r="E18" s="5">
        <v>1679</v>
      </c>
      <c r="F18" s="5"/>
      <c r="G18" s="5"/>
      <c r="H18" s="4"/>
      <c r="I18" s="4"/>
      <c r="J18" s="4"/>
      <c r="K18" s="4"/>
      <c r="L18" s="4"/>
      <c r="M18" s="4"/>
      <c r="N18" s="5">
        <f t="shared" si="0"/>
        <v>10066</v>
      </c>
      <c r="O18" s="24">
        <v>12794.34</v>
      </c>
    </row>
    <row r="19" spans="1:16" ht="12.75" customHeight="1">
      <c r="A19" s="3" t="s">
        <v>14</v>
      </c>
      <c r="B19" s="5">
        <v>4480</v>
      </c>
      <c r="C19" s="5">
        <f>4978-B19</f>
        <v>498</v>
      </c>
      <c r="D19" s="5"/>
      <c r="E19" s="5"/>
      <c r="F19" s="4"/>
      <c r="G19" s="5"/>
      <c r="H19" s="4"/>
      <c r="I19" s="4"/>
      <c r="J19" s="4"/>
      <c r="K19" s="4"/>
      <c r="L19" s="4"/>
      <c r="M19" s="4"/>
      <c r="N19" s="5">
        <f t="shared" si="0"/>
        <v>4978</v>
      </c>
      <c r="O19" s="24">
        <v>1566.48</v>
      </c>
    </row>
    <row r="20" spans="1:16" ht="12.75" customHeight="1">
      <c r="A20" s="3" t="s">
        <v>15</v>
      </c>
      <c r="B20" s="4"/>
      <c r="C20" s="4"/>
      <c r="D20" s="4"/>
      <c r="E20" s="4"/>
      <c r="F20" s="4"/>
      <c r="G20" s="4"/>
      <c r="H20" s="4">
        <v>465</v>
      </c>
      <c r="I20" s="5">
        <v>464</v>
      </c>
      <c r="J20" s="4"/>
      <c r="K20" s="4"/>
      <c r="L20" s="4"/>
      <c r="M20" s="4"/>
      <c r="N20" s="5">
        <f t="shared" si="0"/>
        <v>929</v>
      </c>
      <c r="O20" s="24">
        <v>774.34</v>
      </c>
    </row>
    <row r="21" spans="1:16" ht="12.75" customHeight="1">
      <c r="A21" s="3" t="s">
        <v>16</v>
      </c>
      <c r="B21" s="4"/>
      <c r="C21" s="5"/>
      <c r="D21" s="5"/>
      <c r="E21" s="4"/>
      <c r="F21" s="5"/>
      <c r="G21" s="5"/>
      <c r="H21" s="4"/>
      <c r="I21" s="4"/>
      <c r="J21" s="4"/>
      <c r="K21" s="5"/>
      <c r="L21" s="4"/>
      <c r="M21" s="5"/>
      <c r="N21" s="5">
        <f t="shared" si="0"/>
        <v>0</v>
      </c>
      <c r="O21" s="24">
        <v>1315.71</v>
      </c>
      <c r="P21" s="11" t="s">
        <v>219</v>
      </c>
    </row>
    <row r="22" spans="1:16" ht="12.75" customHeight="1">
      <c r="A22" s="3" t="s">
        <v>17</v>
      </c>
      <c r="B22" s="4"/>
      <c r="C22" s="4"/>
      <c r="D22" s="4"/>
      <c r="E22" s="4"/>
      <c r="F22" s="4"/>
      <c r="G22" s="4"/>
      <c r="H22" s="5">
        <v>4000</v>
      </c>
      <c r="I22" s="5"/>
      <c r="J22" s="4"/>
      <c r="K22" s="5"/>
      <c r="L22" s="4"/>
      <c r="M22" s="4"/>
      <c r="N22" s="5">
        <f t="shared" si="0"/>
        <v>4000</v>
      </c>
      <c r="O22" s="24">
        <v>4000.02</v>
      </c>
    </row>
    <row r="23" spans="1:16" ht="12.75" customHeight="1">
      <c r="A23" s="3" t="s">
        <v>18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5"/>
      <c r="M23" s="5"/>
      <c r="N23" s="5">
        <f t="shared" si="0"/>
        <v>0</v>
      </c>
      <c r="O23" s="24">
        <v>0</v>
      </c>
    </row>
    <row r="24" spans="1:16" ht="12.75" customHeight="1">
      <c r="A24" s="3" t="s">
        <v>19</v>
      </c>
      <c r="B24" s="6">
        <f t="shared" ref="B24:M24" si="1">(((((((((((((((B8)+(B9))+(B10))+(B11))+(B12))+(B13))+(B14))+(B15))+(B16))+(B17))+(B18))+(B19))+(B20))+(B21))+(B22))+(B23)</f>
        <v>164049</v>
      </c>
      <c r="C24" s="6">
        <f t="shared" si="1"/>
        <v>18569</v>
      </c>
      <c r="D24" s="6">
        <f t="shared" si="1"/>
        <v>600</v>
      </c>
      <c r="E24" s="6">
        <f t="shared" si="1"/>
        <v>2279</v>
      </c>
      <c r="F24" s="6">
        <f t="shared" si="1"/>
        <v>600</v>
      </c>
      <c r="G24" s="6">
        <f t="shared" si="1"/>
        <v>600</v>
      </c>
      <c r="H24" s="6">
        <f t="shared" si="1"/>
        <v>10227</v>
      </c>
      <c r="I24" s="6">
        <f t="shared" si="1"/>
        <v>4663</v>
      </c>
      <c r="J24" s="6">
        <f t="shared" si="1"/>
        <v>1099</v>
      </c>
      <c r="K24" s="6">
        <f t="shared" si="1"/>
        <v>100</v>
      </c>
      <c r="L24" s="6">
        <f t="shared" si="1"/>
        <v>100</v>
      </c>
      <c r="M24" s="6">
        <f t="shared" si="1"/>
        <v>100</v>
      </c>
      <c r="N24" s="6">
        <f t="shared" si="0"/>
        <v>202986</v>
      </c>
      <c r="O24" s="25">
        <f>SUM(O7:O23)</f>
        <v>205197.28999999998</v>
      </c>
      <c r="P24" s="11" t="s">
        <v>135</v>
      </c>
    </row>
    <row r="25" spans="1:16" ht="12.75" customHeight="1">
      <c r="A25" s="3" t="s">
        <v>20</v>
      </c>
      <c r="B25" s="6">
        <f t="shared" ref="B25:M25" si="2">(B7)+(B24)</f>
        <v>164049</v>
      </c>
      <c r="C25" s="6">
        <f t="shared" si="2"/>
        <v>18569</v>
      </c>
      <c r="D25" s="6">
        <f t="shared" si="2"/>
        <v>600</v>
      </c>
      <c r="E25" s="6">
        <f t="shared" si="2"/>
        <v>2279</v>
      </c>
      <c r="F25" s="6">
        <f t="shared" si="2"/>
        <v>600</v>
      </c>
      <c r="G25" s="6">
        <f t="shared" si="2"/>
        <v>600</v>
      </c>
      <c r="H25" s="6">
        <f t="shared" si="2"/>
        <v>10227</v>
      </c>
      <c r="I25" s="6">
        <f t="shared" si="2"/>
        <v>4663</v>
      </c>
      <c r="J25" s="6">
        <f t="shared" si="2"/>
        <v>1099</v>
      </c>
      <c r="K25" s="6">
        <f t="shared" si="2"/>
        <v>100</v>
      </c>
      <c r="L25" s="6">
        <f t="shared" si="2"/>
        <v>100</v>
      </c>
      <c r="M25" s="6">
        <f t="shared" si="2"/>
        <v>100</v>
      </c>
      <c r="N25" s="6">
        <f t="shared" si="0"/>
        <v>202986</v>
      </c>
      <c r="O25" s="25">
        <f>+O24</f>
        <v>205197.28999999998</v>
      </c>
    </row>
    <row r="26" spans="1:16" ht="12.75" customHeight="1">
      <c r="A26" s="3" t="s">
        <v>21</v>
      </c>
      <c r="B26" s="6">
        <f t="shared" ref="B26:M26" si="3">B25</f>
        <v>164049</v>
      </c>
      <c r="C26" s="6">
        <f t="shared" si="3"/>
        <v>18569</v>
      </c>
      <c r="D26" s="6">
        <f t="shared" si="3"/>
        <v>600</v>
      </c>
      <c r="E26" s="6">
        <f t="shared" si="3"/>
        <v>2279</v>
      </c>
      <c r="F26" s="6">
        <f t="shared" si="3"/>
        <v>600</v>
      </c>
      <c r="G26" s="6">
        <f t="shared" si="3"/>
        <v>600</v>
      </c>
      <c r="H26" s="6">
        <f t="shared" si="3"/>
        <v>10227</v>
      </c>
      <c r="I26" s="6">
        <f t="shared" si="3"/>
        <v>4663</v>
      </c>
      <c r="J26" s="6">
        <f t="shared" si="3"/>
        <v>1099</v>
      </c>
      <c r="K26" s="6">
        <f t="shared" si="3"/>
        <v>100</v>
      </c>
      <c r="L26" s="6">
        <f t="shared" si="3"/>
        <v>100</v>
      </c>
      <c r="M26" s="6">
        <f t="shared" si="3"/>
        <v>100</v>
      </c>
      <c r="N26" s="6">
        <f t="shared" si="0"/>
        <v>202986</v>
      </c>
      <c r="O26" s="25">
        <f>+O25</f>
        <v>205197.28999999998</v>
      </c>
    </row>
    <row r="27" spans="1:16" ht="12.75" customHeight="1">
      <c r="A27" s="3" t="s">
        <v>22</v>
      </c>
      <c r="B27" s="6">
        <f t="shared" ref="B27:M27" si="4">(B26)-(0)</f>
        <v>164049</v>
      </c>
      <c r="C27" s="6">
        <f t="shared" si="4"/>
        <v>18569</v>
      </c>
      <c r="D27" s="6">
        <f t="shared" si="4"/>
        <v>600</v>
      </c>
      <c r="E27" s="6">
        <f t="shared" si="4"/>
        <v>2279</v>
      </c>
      <c r="F27" s="6">
        <f t="shared" si="4"/>
        <v>600</v>
      </c>
      <c r="G27" s="6">
        <f t="shared" si="4"/>
        <v>600</v>
      </c>
      <c r="H27" s="6">
        <f t="shared" si="4"/>
        <v>10227</v>
      </c>
      <c r="I27" s="6">
        <f t="shared" si="4"/>
        <v>4663</v>
      </c>
      <c r="J27" s="6">
        <f t="shared" si="4"/>
        <v>1099</v>
      </c>
      <c r="K27" s="6">
        <f t="shared" si="4"/>
        <v>100</v>
      </c>
      <c r="L27" s="6">
        <f t="shared" si="4"/>
        <v>100</v>
      </c>
      <c r="M27" s="6">
        <f t="shared" si="4"/>
        <v>100</v>
      </c>
      <c r="N27" s="6">
        <f t="shared" si="0"/>
        <v>202986</v>
      </c>
      <c r="O27" s="25">
        <f>+O26</f>
        <v>205197.28999999998</v>
      </c>
    </row>
    <row r="28" spans="1:16" ht="12.75" customHeight="1">
      <c r="A28" s="3" t="s">
        <v>23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6"/>
    </row>
    <row r="29" spans="1:16" ht="12.75" customHeight="1">
      <c r="A29" s="3" t="s">
        <v>24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>
        <f t="shared" ref="N29:N60" si="5">(((((((((((B29)+(C29))+(D29))+(E29))+(F29))+(G29))+(H29))+(I29))+(J29))+(K29))+(L29))+(M29)</f>
        <v>0</v>
      </c>
      <c r="O29" s="24">
        <v>0</v>
      </c>
    </row>
    <row r="30" spans="1:16" ht="12.75" customHeight="1">
      <c r="A30" s="3" t="s">
        <v>25</v>
      </c>
      <c r="B30" s="4"/>
      <c r="C30" s="4">
        <v>2000</v>
      </c>
      <c r="D30" s="4"/>
      <c r="E30" s="4"/>
      <c r="F30" s="5">
        <v>0</v>
      </c>
      <c r="G30" s="4"/>
      <c r="H30" s="4"/>
      <c r="I30" s="4"/>
      <c r="J30" s="4"/>
      <c r="K30" s="5">
        <v>0</v>
      </c>
      <c r="L30" s="4"/>
      <c r="M30" s="5">
        <v>0</v>
      </c>
      <c r="N30" s="5">
        <f t="shared" si="5"/>
        <v>2000</v>
      </c>
      <c r="O30" s="24">
        <v>2084.71</v>
      </c>
    </row>
    <row r="31" spans="1:16" ht="12.75" customHeight="1">
      <c r="A31" s="3" t="s">
        <v>26</v>
      </c>
      <c r="B31" s="6">
        <f t="shared" ref="B31:M31" si="6">(B29)+(B30)</f>
        <v>0</v>
      </c>
      <c r="C31" s="6">
        <f t="shared" si="6"/>
        <v>2000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5"/>
        <v>2000</v>
      </c>
      <c r="O31" s="25">
        <f>SUM(O29:O30)</f>
        <v>2084.71</v>
      </c>
    </row>
    <row r="32" spans="1:16" ht="12.75" customHeight="1">
      <c r="A32" s="3" t="s">
        <v>27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>
        <f t="shared" si="5"/>
        <v>0</v>
      </c>
      <c r="O32" s="24">
        <v>0</v>
      </c>
    </row>
    <row r="33" spans="1:16" ht="12.75" customHeight="1">
      <c r="A33" s="3" t="s">
        <v>28</v>
      </c>
      <c r="B33" s="5">
        <v>15</v>
      </c>
      <c r="C33" s="5">
        <v>15</v>
      </c>
      <c r="D33" s="5">
        <v>15</v>
      </c>
      <c r="E33" s="5">
        <v>15</v>
      </c>
      <c r="F33" s="5">
        <v>15</v>
      </c>
      <c r="G33" s="5">
        <v>15</v>
      </c>
      <c r="H33" s="5">
        <v>15</v>
      </c>
      <c r="I33" s="5">
        <v>15</v>
      </c>
      <c r="J33" s="5">
        <v>15</v>
      </c>
      <c r="K33" s="5">
        <v>15</v>
      </c>
      <c r="L33" s="5">
        <v>15</v>
      </c>
      <c r="M33" s="5">
        <v>15</v>
      </c>
      <c r="N33" s="5">
        <f t="shared" si="5"/>
        <v>180</v>
      </c>
      <c r="O33" s="24">
        <v>299.33</v>
      </c>
    </row>
    <row r="34" spans="1:16" ht="12.75" customHeight="1">
      <c r="A34" s="3" t="s">
        <v>29</v>
      </c>
      <c r="B34" s="6">
        <f t="shared" ref="B34:M34" si="7">(B32)+(B33)</f>
        <v>15</v>
      </c>
      <c r="C34" s="6">
        <f t="shared" si="7"/>
        <v>15</v>
      </c>
      <c r="D34" s="6">
        <f t="shared" si="7"/>
        <v>15</v>
      </c>
      <c r="E34" s="6">
        <f t="shared" si="7"/>
        <v>15</v>
      </c>
      <c r="F34" s="6">
        <f t="shared" si="7"/>
        <v>15</v>
      </c>
      <c r="G34" s="6">
        <f t="shared" si="7"/>
        <v>15</v>
      </c>
      <c r="H34" s="6">
        <f t="shared" si="7"/>
        <v>15</v>
      </c>
      <c r="I34" s="6">
        <f t="shared" si="7"/>
        <v>15</v>
      </c>
      <c r="J34" s="6">
        <f t="shared" si="7"/>
        <v>15</v>
      </c>
      <c r="K34" s="6">
        <f t="shared" si="7"/>
        <v>15</v>
      </c>
      <c r="L34" s="6">
        <f t="shared" si="7"/>
        <v>15</v>
      </c>
      <c r="M34" s="6">
        <f t="shared" si="7"/>
        <v>15</v>
      </c>
      <c r="N34" s="6">
        <f t="shared" si="5"/>
        <v>180</v>
      </c>
      <c r="O34" s="25">
        <f>SUM(O32:O33)</f>
        <v>299.33</v>
      </c>
    </row>
    <row r="35" spans="1:16" ht="12.75" customHeight="1">
      <c r="A35" s="3" t="s">
        <v>30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>
        <f t="shared" si="5"/>
        <v>0</v>
      </c>
      <c r="O35" s="24">
        <v>0</v>
      </c>
    </row>
    <row r="36" spans="1:16" ht="12.75" customHeight="1">
      <c r="A36" s="3" t="s">
        <v>31</v>
      </c>
      <c r="B36" s="5">
        <v>6500</v>
      </c>
      <c r="C36" s="5"/>
      <c r="D36" s="5"/>
      <c r="E36" s="5"/>
      <c r="F36" s="4"/>
      <c r="G36" s="4"/>
      <c r="H36" s="4"/>
      <c r="I36" s="4"/>
      <c r="J36" s="4"/>
      <c r="K36" s="4"/>
      <c r="L36" s="4"/>
      <c r="M36" s="4"/>
      <c r="N36" s="5">
        <f t="shared" si="5"/>
        <v>6500</v>
      </c>
      <c r="O36" s="24">
        <v>5946.63</v>
      </c>
    </row>
    <row r="37" spans="1:16" ht="12.75" customHeight="1">
      <c r="A37" s="3" t="s">
        <v>32</v>
      </c>
      <c r="B37" s="4"/>
      <c r="C37" s="4"/>
      <c r="D37" s="4"/>
      <c r="E37" s="4"/>
      <c r="F37" s="4"/>
      <c r="G37" s="4"/>
      <c r="H37" s="5">
        <v>6500</v>
      </c>
      <c r="I37" s="4"/>
      <c r="J37" s="4"/>
      <c r="K37" s="4"/>
      <c r="L37" s="4"/>
      <c r="M37" s="4"/>
      <c r="N37" s="5">
        <f t="shared" si="5"/>
        <v>6500</v>
      </c>
      <c r="O37" s="24">
        <v>5599.5</v>
      </c>
    </row>
    <row r="38" spans="1:16" ht="12.75" customHeight="1">
      <c r="A38" s="3" t="s">
        <v>33</v>
      </c>
      <c r="B38" s="6">
        <f t="shared" ref="B38:M38" si="8">((B35)+(B36))+(B37)</f>
        <v>6500</v>
      </c>
      <c r="C38" s="6">
        <f t="shared" si="8"/>
        <v>0</v>
      </c>
      <c r="D38" s="6">
        <f t="shared" si="8"/>
        <v>0</v>
      </c>
      <c r="E38" s="6">
        <f t="shared" si="8"/>
        <v>0</v>
      </c>
      <c r="F38" s="6">
        <f t="shared" si="8"/>
        <v>0</v>
      </c>
      <c r="G38" s="6">
        <f t="shared" si="8"/>
        <v>0</v>
      </c>
      <c r="H38" s="6">
        <f t="shared" si="8"/>
        <v>6500</v>
      </c>
      <c r="I38" s="6">
        <f t="shared" si="8"/>
        <v>0</v>
      </c>
      <c r="J38" s="6">
        <f t="shared" si="8"/>
        <v>0</v>
      </c>
      <c r="K38" s="6">
        <f t="shared" si="8"/>
        <v>0</v>
      </c>
      <c r="L38" s="6">
        <f t="shared" si="8"/>
        <v>0</v>
      </c>
      <c r="M38" s="6">
        <f t="shared" si="8"/>
        <v>0</v>
      </c>
      <c r="N38" s="6">
        <f t="shared" si="5"/>
        <v>13000</v>
      </c>
      <c r="O38" s="25">
        <f>SUM(O35:O37)</f>
        <v>11546.130000000001</v>
      </c>
    </row>
    <row r="39" spans="1:16" ht="12.75" customHeight="1">
      <c r="A39" s="3" t="s">
        <v>34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>
        <f t="shared" si="5"/>
        <v>0</v>
      </c>
      <c r="O39" s="24">
        <v>0</v>
      </c>
    </row>
    <row r="40" spans="1:16" ht="12.75" customHeight="1">
      <c r="A40" s="3" t="s">
        <v>35</v>
      </c>
      <c r="B40" s="4"/>
      <c r="C40" s="4"/>
      <c r="D40" s="4"/>
      <c r="E40" s="5"/>
      <c r="F40" s="4"/>
      <c r="G40" s="5">
        <f>3623.35</f>
        <v>3623.35</v>
      </c>
      <c r="H40" s="4"/>
      <c r="I40" s="5">
        <f>399.6</f>
        <v>399.6</v>
      </c>
      <c r="J40" s="4"/>
      <c r="K40" s="5"/>
      <c r="L40" s="4"/>
      <c r="M40" s="4"/>
      <c r="N40" s="5">
        <f t="shared" si="5"/>
        <v>4022.95</v>
      </c>
      <c r="O40" s="24">
        <v>4065.55</v>
      </c>
    </row>
    <row r="41" spans="1:16" ht="12.75" customHeight="1">
      <c r="A41" s="3" t="s">
        <v>36</v>
      </c>
      <c r="B41" s="6">
        <f t="shared" ref="B41:M41" si="9">(B39)+(B40)</f>
        <v>0</v>
      </c>
      <c r="C41" s="6">
        <f t="shared" si="9"/>
        <v>0</v>
      </c>
      <c r="D41" s="6">
        <f t="shared" si="9"/>
        <v>0</v>
      </c>
      <c r="E41" s="6">
        <f t="shared" si="9"/>
        <v>0</v>
      </c>
      <c r="F41" s="6">
        <f t="shared" si="9"/>
        <v>0</v>
      </c>
      <c r="G41" s="6">
        <f t="shared" si="9"/>
        <v>3623.35</v>
      </c>
      <c r="H41" s="6">
        <f t="shared" si="9"/>
        <v>0</v>
      </c>
      <c r="I41" s="6">
        <f t="shared" si="9"/>
        <v>399.6</v>
      </c>
      <c r="J41" s="6">
        <f t="shared" si="9"/>
        <v>0</v>
      </c>
      <c r="K41" s="6">
        <f t="shared" si="9"/>
        <v>0</v>
      </c>
      <c r="L41" s="6">
        <f t="shared" si="9"/>
        <v>0</v>
      </c>
      <c r="M41" s="6">
        <f t="shared" si="9"/>
        <v>0</v>
      </c>
      <c r="N41" s="6">
        <f t="shared" si="5"/>
        <v>4022.95</v>
      </c>
      <c r="O41" s="25">
        <f>SUM(O39:O40)</f>
        <v>4065.55</v>
      </c>
    </row>
    <row r="42" spans="1:16" ht="12.75" customHeight="1">
      <c r="A42" s="3" t="s">
        <v>37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>
        <f t="shared" si="5"/>
        <v>0</v>
      </c>
      <c r="O42" s="24">
        <v>0</v>
      </c>
    </row>
    <row r="43" spans="1:16" ht="12.75" customHeight="1">
      <c r="A43" s="3" t="s">
        <v>38</v>
      </c>
      <c r="B43" s="4"/>
      <c r="C43" s="4"/>
      <c r="D43" s="4"/>
      <c r="E43" s="4"/>
      <c r="F43" s="4"/>
      <c r="G43" s="4"/>
      <c r="H43" s="4"/>
      <c r="I43" s="4"/>
      <c r="J43" s="5">
        <v>265</v>
      </c>
      <c r="K43" s="4"/>
      <c r="L43" s="4"/>
      <c r="M43" s="4"/>
      <c r="N43" s="5">
        <f t="shared" si="5"/>
        <v>265</v>
      </c>
      <c r="O43" s="24">
        <v>255</v>
      </c>
    </row>
    <row r="44" spans="1:16" ht="12.75" customHeight="1">
      <c r="A44" s="3" t="s">
        <v>39</v>
      </c>
      <c r="B44" s="4">
        <v>50</v>
      </c>
      <c r="C44" s="4">
        <v>50</v>
      </c>
      <c r="D44" s="4">
        <v>50</v>
      </c>
      <c r="E44" s="4">
        <v>50</v>
      </c>
      <c r="F44" s="4">
        <v>50</v>
      </c>
      <c r="G44" s="4">
        <v>50</v>
      </c>
      <c r="H44" s="4">
        <v>50</v>
      </c>
      <c r="I44" s="4">
        <v>50</v>
      </c>
      <c r="J44" s="4">
        <v>50</v>
      </c>
      <c r="K44" s="4">
        <v>50</v>
      </c>
      <c r="L44" s="4">
        <v>50</v>
      </c>
      <c r="M44" s="4">
        <v>50</v>
      </c>
      <c r="N44" s="5">
        <f t="shared" si="5"/>
        <v>600</v>
      </c>
      <c r="O44" s="24">
        <v>1342.77</v>
      </c>
      <c r="P44" s="11" t="s">
        <v>133</v>
      </c>
    </row>
    <row r="45" spans="1:16" ht="12.75" customHeight="1">
      <c r="A45" s="3" t="s">
        <v>40</v>
      </c>
      <c r="B45" s="6">
        <f t="shared" ref="B45:M45" si="10">((B42)+(B43))+(B44)</f>
        <v>50</v>
      </c>
      <c r="C45" s="6">
        <f t="shared" si="10"/>
        <v>50</v>
      </c>
      <c r="D45" s="6">
        <f t="shared" si="10"/>
        <v>50</v>
      </c>
      <c r="E45" s="6">
        <f t="shared" si="10"/>
        <v>50</v>
      </c>
      <c r="F45" s="6">
        <f t="shared" si="10"/>
        <v>50</v>
      </c>
      <c r="G45" s="6">
        <f t="shared" si="10"/>
        <v>50</v>
      </c>
      <c r="H45" s="6">
        <f t="shared" si="10"/>
        <v>50</v>
      </c>
      <c r="I45" s="6">
        <f t="shared" si="10"/>
        <v>50</v>
      </c>
      <c r="J45" s="6">
        <f t="shared" si="10"/>
        <v>315</v>
      </c>
      <c r="K45" s="6">
        <f t="shared" si="10"/>
        <v>50</v>
      </c>
      <c r="L45" s="6">
        <f t="shared" si="10"/>
        <v>50</v>
      </c>
      <c r="M45" s="6">
        <f t="shared" si="10"/>
        <v>50</v>
      </c>
      <c r="N45" s="6">
        <f t="shared" si="5"/>
        <v>865</v>
      </c>
      <c r="O45" s="25">
        <f>SUM(O42:O44)</f>
        <v>1597.77</v>
      </c>
    </row>
    <row r="46" spans="1:16" ht="12.75" customHeight="1">
      <c r="A46" s="3" t="s">
        <v>41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5">
        <f t="shared" si="5"/>
        <v>0</v>
      </c>
      <c r="O46" s="24">
        <v>0</v>
      </c>
    </row>
    <row r="47" spans="1:16" ht="12.75" customHeight="1">
      <c r="A47" s="3" t="s">
        <v>42</v>
      </c>
      <c r="B47" s="5">
        <f>360</f>
        <v>360</v>
      </c>
      <c r="C47" s="4"/>
      <c r="D47" s="5">
        <f>360</f>
        <v>360</v>
      </c>
      <c r="E47" s="4"/>
      <c r="F47" s="4"/>
      <c r="G47" s="5">
        <f>360</f>
        <v>360</v>
      </c>
      <c r="H47" s="4"/>
      <c r="I47" s="4"/>
      <c r="J47" s="5">
        <f>360</f>
        <v>360</v>
      </c>
      <c r="K47" s="4"/>
      <c r="L47" s="4"/>
      <c r="M47" s="5">
        <v>0</v>
      </c>
      <c r="N47" s="5">
        <f t="shared" si="5"/>
        <v>1440</v>
      </c>
      <c r="O47" s="24">
        <v>1440</v>
      </c>
    </row>
    <row r="48" spans="1:16" ht="12.75" customHeight="1">
      <c r="A48" s="3" t="s">
        <v>43</v>
      </c>
      <c r="B48" s="6">
        <f t="shared" ref="B48:M48" si="11">(B46)+(B47)</f>
        <v>360</v>
      </c>
      <c r="C48" s="6">
        <f t="shared" si="11"/>
        <v>0</v>
      </c>
      <c r="D48" s="6">
        <f t="shared" si="11"/>
        <v>360</v>
      </c>
      <c r="E48" s="6">
        <f t="shared" si="11"/>
        <v>0</v>
      </c>
      <c r="F48" s="6">
        <f t="shared" si="11"/>
        <v>0</v>
      </c>
      <c r="G48" s="6">
        <f t="shared" si="11"/>
        <v>360</v>
      </c>
      <c r="H48" s="6">
        <f t="shared" si="11"/>
        <v>0</v>
      </c>
      <c r="I48" s="6">
        <f t="shared" si="11"/>
        <v>0</v>
      </c>
      <c r="J48" s="6">
        <f t="shared" si="11"/>
        <v>360</v>
      </c>
      <c r="K48" s="6">
        <f t="shared" si="11"/>
        <v>0</v>
      </c>
      <c r="L48" s="6">
        <f t="shared" si="11"/>
        <v>0</v>
      </c>
      <c r="M48" s="6">
        <f t="shared" si="11"/>
        <v>0</v>
      </c>
      <c r="N48" s="6">
        <f t="shared" si="5"/>
        <v>1440</v>
      </c>
      <c r="O48" s="25">
        <f>SUM(O46:O47)</f>
        <v>1440</v>
      </c>
    </row>
    <row r="49" spans="1:16" ht="12.75" customHeight="1">
      <c r="A49" s="3" t="s">
        <v>44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">
        <f t="shared" si="5"/>
        <v>0</v>
      </c>
      <c r="O49" s="24">
        <v>0</v>
      </c>
    </row>
    <row r="50" spans="1:16" ht="12.75" customHeight="1">
      <c r="A50" s="3" t="s">
        <v>45</v>
      </c>
      <c r="B50" s="4"/>
      <c r="C50" s="4"/>
      <c r="D50" s="4"/>
      <c r="E50" s="4"/>
      <c r="F50" s="4"/>
      <c r="G50" s="4"/>
      <c r="H50" s="5">
        <v>3484</v>
      </c>
      <c r="I50" s="4"/>
      <c r="J50" s="4"/>
      <c r="K50" s="4"/>
      <c r="L50" s="4"/>
      <c r="M50" s="5">
        <v>0</v>
      </c>
      <c r="N50" s="5">
        <f t="shared" si="5"/>
        <v>3484</v>
      </c>
      <c r="O50" s="24">
        <v>3469</v>
      </c>
      <c r="P50" s="11" t="s">
        <v>134</v>
      </c>
    </row>
    <row r="51" spans="1:16" ht="12.75" customHeight="1">
      <c r="A51" s="3" t="s">
        <v>46</v>
      </c>
      <c r="B51" s="6">
        <f t="shared" ref="B51:M51" si="12">(B49)+(B50)</f>
        <v>0</v>
      </c>
      <c r="C51" s="6">
        <f t="shared" si="12"/>
        <v>0</v>
      </c>
      <c r="D51" s="6">
        <f t="shared" si="12"/>
        <v>0</v>
      </c>
      <c r="E51" s="6">
        <f t="shared" si="12"/>
        <v>0</v>
      </c>
      <c r="F51" s="6">
        <f t="shared" si="12"/>
        <v>0</v>
      </c>
      <c r="G51" s="6">
        <f t="shared" si="12"/>
        <v>0</v>
      </c>
      <c r="H51" s="6">
        <f t="shared" si="12"/>
        <v>3484</v>
      </c>
      <c r="I51" s="6">
        <f t="shared" si="12"/>
        <v>0</v>
      </c>
      <c r="J51" s="6">
        <f t="shared" si="12"/>
        <v>0</v>
      </c>
      <c r="K51" s="6">
        <f t="shared" si="12"/>
        <v>0</v>
      </c>
      <c r="L51" s="6">
        <f t="shared" si="12"/>
        <v>0</v>
      </c>
      <c r="M51" s="6">
        <f t="shared" si="12"/>
        <v>0</v>
      </c>
      <c r="N51" s="6">
        <f t="shared" si="5"/>
        <v>3484</v>
      </c>
      <c r="O51" s="25">
        <f>SUM(O49:O50)</f>
        <v>3469</v>
      </c>
    </row>
    <row r="52" spans="1:16" ht="12.75" customHeight="1">
      <c r="A52" s="3" t="s">
        <v>47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5">
        <f t="shared" si="5"/>
        <v>0</v>
      </c>
      <c r="O52" s="24">
        <v>0</v>
      </c>
    </row>
    <row r="53" spans="1:16" ht="12.75" customHeight="1">
      <c r="A53" s="3" t="s">
        <v>48</v>
      </c>
      <c r="B53" s="24">
        <f>'Repairs Cleaning and Mntc'!D23</f>
        <v>715</v>
      </c>
      <c r="C53" s="24">
        <f>'Repairs Cleaning and Mntc'!E23</f>
        <v>480</v>
      </c>
      <c r="D53" s="24">
        <f>'Repairs Cleaning and Mntc'!F23</f>
        <v>480</v>
      </c>
      <c r="E53" s="24">
        <f>'Repairs Cleaning and Mntc'!G23</f>
        <v>715</v>
      </c>
      <c r="F53" s="24">
        <f>'Repairs Cleaning and Mntc'!H23</f>
        <v>480</v>
      </c>
      <c r="G53" s="24">
        <f>'Repairs Cleaning and Mntc'!I23</f>
        <v>480</v>
      </c>
      <c r="H53" s="24">
        <f>'Repairs Cleaning and Mntc'!J23</f>
        <v>715</v>
      </c>
      <c r="I53" s="24">
        <f>'Repairs Cleaning and Mntc'!K23</f>
        <v>200</v>
      </c>
      <c r="J53" s="24">
        <f>'Repairs Cleaning and Mntc'!L23</f>
        <v>200</v>
      </c>
      <c r="K53" s="24">
        <f>'Repairs Cleaning and Mntc'!M23</f>
        <v>435</v>
      </c>
      <c r="L53" s="24">
        <f>'Repairs Cleaning and Mntc'!N23</f>
        <v>200</v>
      </c>
      <c r="M53" s="24">
        <f>'Repairs Cleaning and Mntc'!O23</f>
        <v>200</v>
      </c>
      <c r="N53" s="24">
        <f t="shared" si="5"/>
        <v>5300</v>
      </c>
      <c r="O53" s="5">
        <f>5698.66+200</f>
        <v>5898.66</v>
      </c>
      <c r="P53" s="11" t="s">
        <v>221</v>
      </c>
    </row>
    <row r="54" spans="1:16" ht="12.75" customHeight="1">
      <c r="A54" s="3" t="s">
        <v>49</v>
      </c>
      <c r="B54" s="26"/>
      <c r="C54" s="26"/>
      <c r="D54" s="26"/>
      <c r="E54" s="26"/>
      <c r="F54" s="26"/>
      <c r="G54" s="26"/>
      <c r="H54" s="24"/>
      <c r="I54" s="26"/>
      <c r="J54" s="26"/>
      <c r="K54" s="26"/>
      <c r="L54" s="26"/>
      <c r="M54" s="24"/>
      <c r="N54" s="24">
        <f t="shared" si="5"/>
        <v>0</v>
      </c>
      <c r="O54" s="5">
        <v>118.97999999999999</v>
      </c>
    </row>
    <row r="55" spans="1:16" ht="12.75" customHeight="1">
      <c r="A55" s="3" t="s">
        <v>274</v>
      </c>
      <c r="B55" s="26">
        <f>'Repairs Cleaning and Mntc'!D40</f>
        <v>495</v>
      </c>
      <c r="C55" s="26">
        <f>'Repairs Cleaning and Mntc'!E40</f>
        <v>495</v>
      </c>
      <c r="D55" s="26">
        <f>'Repairs Cleaning and Mntc'!F40</f>
        <v>495</v>
      </c>
      <c r="E55" s="26">
        <f>'Repairs Cleaning and Mntc'!G40</f>
        <v>495</v>
      </c>
      <c r="F55" s="26">
        <f>'Repairs Cleaning and Mntc'!H40</f>
        <v>495</v>
      </c>
      <c r="G55" s="26">
        <f>'Repairs Cleaning and Mntc'!I40</f>
        <v>495</v>
      </c>
      <c r="H55" s="26">
        <f>'Repairs Cleaning and Mntc'!J40</f>
        <v>495</v>
      </c>
      <c r="I55" s="26">
        <f>'Repairs Cleaning and Mntc'!K40</f>
        <v>0</v>
      </c>
      <c r="J55" s="24">
        <f>'Repairs Cleaning and Mntc'!L40</f>
        <v>0</v>
      </c>
      <c r="K55" s="26">
        <f>'Repairs Cleaning and Mntc'!M40</f>
        <v>0</v>
      </c>
      <c r="L55" s="26">
        <f>'Repairs Cleaning and Mntc'!N40</f>
        <v>0</v>
      </c>
      <c r="M55" s="24">
        <f>'Repairs Cleaning and Mntc'!O40</f>
        <v>0</v>
      </c>
      <c r="N55" s="24">
        <f>'Repairs Cleaning and Mntc'!P40</f>
        <v>3465</v>
      </c>
      <c r="O55" s="5">
        <f>4081.16-200</f>
        <v>3881.16</v>
      </c>
    </row>
    <row r="56" spans="1:16" ht="12.75" customHeight="1">
      <c r="A56" s="3" t="s">
        <v>50</v>
      </c>
      <c r="B56" s="26">
        <f>'Repairs Cleaning and Mntc'!D48</f>
        <v>0</v>
      </c>
      <c r="C56" s="26">
        <f>'Repairs Cleaning and Mntc'!E48</f>
        <v>0</v>
      </c>
      <c r="D56" s="26">
        <f>'Repairs Cleaning and Mntc'!F48</f>
        <v>0</v>
      </c>
      <c r="E56" s="26">
        <f>'Repairs Cleaning and Mntc'!G48</f>
        <v>0</v>
      </c>
      <c r="F56" s="26">
        <f>'Repairs Cleaning and Mntc'!H48</f>
        <v>0</v>
      </c>
      <c r="G56" s="26">
        <f>'Repairs Cleaning and Mntc'!I48</f>
        <v>0</v>
      </c>
      <c r="H56" s="26">
        <f>'Repairs Cleaning and Mntc'!J48</f>
        <v>0</v>
      </c>
      <c r="I56" s="24">
        <f>'Repairs Cleaning and Mntc'!K48</f>
        <v>150</v>
      </c>
      <c r="J56" s="26">
        <f>'Repairs Cleaning and Mntc'!L48</f>
        <v>150</v>
      </c>
      <c r="K56" s="24">
        <f>'Repairs Cleaning and Mntc'!M48</f>
        <v>150</v>
      </c>
      <c r="L56" s="26">
        <f>'Repairs Cleaning and Mntc'!N48</f>
        <v>150</v>
      </c>
      <c r="M56" s="26">
        <f>'Repairs Cleaning and Mntc'!O48</f>
        <v>150</v>
      </c>
      <c r="N56" s="24">
        <f>'Repairs Cleaning and Mntc'!P48</f>
        <v>750</v>
      </c>
      <c r="O56" s="5">
        <v>730.04000000000008</v>
      </c>
    </row>
    <row r="57" spans="1:16" ht="12.75" customHeight="1">
      <c r="A57" s="3" t="s">
        <v>51</v>
      </c>
      <c r="B57" s="24">
        <f>'Repairs Cleaning and Mntc'!D57</f>
        <v>800</v>
      </c>
      <c r="C57" s="24">
        <f>'Repairs Cleaning and Mntc'!E57</f>
        <v>800</v>
      </c>
      <c r="D57" s="24">
        <f>'Repairs Cleaning and Mntc'!F57</f>
        <v>800</v>
      </c>
      <c r="E57" s="24">
        <f>'Repairs Cleaning and Mntc'!G57</f>
        <v>800</v>
      </c>
      <c r="F57" s="24">
        <f>'Repairs Cleaning and Mntc'!H57</f>
        <v>800</v>
      </c>
      <c r="G57" s="24">
        <f>'Repairs Cleaning and Mntc'!I57</f>
        <v>800</v>
      </c>
      <c r="H57" s="24">
        <f>'Repairs Cleaning and Mntc'!J57</f>
        <v>800</v>
      </c>
      <c r="I57" s="26">
        <f>'Repairs Cleaning and Mntc'!K57</f>
        <v>0</v>
      </c>
      <c r="J57" s="26">
        <f>'Repairs Cleaning and Mntc'!L57</f>
        <v>0</v>
      </c>
      <c r="K57" s="26">
        <f>'Repairs Cleaning and Mntc'!M57</f>
        <v>0</v>
      </c>
      <c r="L57" s="26">
        <f>'Repairs Cleaning and Mntc'!N57</f>
        <v>0</v>
      </c>
      <c r="M57" s="26">
        <f>'Repairs Cleaning and Mntc'!O57</f>
        <v>0</v>
      </c>
      <c r="N57" s="24">
        <f>'Repairs Cleaning and Mntc'!P57</f>
        <v>5600</v>
      </c>
      <c r="O57" s="5">
        <v>5032.2600000000011</v>
      </c>
    </row>
    <row r="58" spans="1:16" ht="12.75" customHeight="1">
      <c r="A58" s="3" t="s">
        <v>52</v>
      </c>
      <c r="B58" s="26">
        <f>'Repairs Cleaning and Mntc'!D66</f>
        <v>0</v>
      </c>
      <c r="C58" s="26">
        <f>'Repairs Cleaning and Mntc'!E66</f>
        <v>945</v>
      </c>
      <c r="D58" s="26">
        <f>'Repairs Cleaning and Mntc'!F66</f>
        <v>0</v>
      </c>
      <c r="E58" s="26">
        <f>'Repairs Cleaning and Mntc'!G66</f>
        <v>0</v>
      </c>
      <c r="F58" s="24">
        <f>'Repairs Cleaning and Mntc'!H66</f>
        <v>0</v>
      </c>
      <c r="G58" s="24">
        <f>'Repairs Cleaning and Mntc'!I66</f>
        <v>0</v>
      </c>
      <c r="H58" s="26">
        <f>'Repairs Cleaning and Mntc'!J66</f>
        <v>0</v>
      </c>
      <c r="I58" s="26">
        <f>'Repairs Cleaning and Mntc'!K66</f>
        <v>0</v>
      </c>
      <c r="J58" s="26">
        <f>'Repairs Cleaning and Mntc'!L66</f>
        <v>0</v>
      </c>
      <c r="K58" s="26">
        <f>'Repairs Cleaning and Mntc'!M66</f>
        <v>0</v>
      </c>
      <c r="L58" s="26">
        <f>'Repairs Cleaning and Mntc'!N66</f>
        <v>0</v>
      </c>
      <c r="M58" s="26">
        <f>'Repairs Cleaning and Mntc'!O66</f>
        <v>0</v>
      </c>
      <c r="N58" s="24">
        <f t="shared" si="5"/>
        <v>945</v>
      </c>
      <c r="O58" s="5">
        <v>1015</v>
      </c>
    </row>
    <row r="59" spans="1:16" ht="12.75" customHeight="1">
      <c r="A59" s="3" t="s">
        <v>53</v>
      </c>
      <c r="B59" s="23"/>
      <c r="C59" s="23"/>
      <c r="D59" s="23"/>
      <c r="E59" s="23"/>
      <c r="F59" s="23"/>
      <c r="G59" s="23"/>
      <c r="H59" s="23">
        <v>750</v>
      </c>
      <c r="I59" s="22"/>
      <c r="J59" s="23"/>
      <c r="K59" s="23"/>
      <c r="L59" s="23"/>
      <c r="M59" s="22"/>
      <c r="N59" s="24">
        <f t="shared" si="5"/>
        <v>750</v>
      </c>
      <c r="O59" s="5">
        <v>891.5</v>
      </c>
    </row>
    <row r="60" spans="1:16" ht="12.75" customHeight="1">
      <c r="A60" s="3" t="s">
        <v>54</v>
      </c>
      <c r="B60" s="26"/>
      <c r="C60" s="26"/>
      <c r="D60" s="26"/>
      <c r="E60" s="26"/>
      <c r="F60" s="26"/>
      <c r="G60" s="26"/>
      <c r="H60" s="24">
        <v>0</v>
      </c>
      <c r="I60" s="26"/>
      <c r="J60" s="26"/>
      <c r="K60" s="26"/>
      <c r="L60" s="26"/>
      <c r="M60" s="26"/>
      <c r="N60" s="24">
        <f t="shared" si="5"/>
        <v>0</v>
      </c>
      <c r="O60" s="5">
        <v>278</v>
      </c>
    </row>
    <row r="61" spans="1:16" ht="12.75" customHeight="1">
      <c r="A61" s="3" t="s">
        <v>55</v>
      </c>
      <c r="B61" s="26"/>
      <c r="C61" s="26"/>
      <c r="D61" s="26"/>
      <c r="E61" s="26"/>
      <c r="F61" s="26"/>
      <c r="G61" s="26"/>
      <c r="H61" s="24">
        <v>75</v>
      </c>
      <c r="I61" s="26"/>
      <c r="J61" s="26">
        <v>100</v>
      </c>
      <c r="K61" s="24"/>
      <c r="L61" s="26"/>
      <c r="M61" s="26"/>
      <c r="N61" s="24">
        <f t="shared" ref="N61:N91" si="13">(((((((((((B61)+(C61))+(D61))+(E61))+(F61))+(G61))+(H61))+(I61))+(J61))+(K61))+(L61))+(M61)</f>
        <v>175</v>
      </c>
      <c r="O61" s="5">
        <v>91.45</v>
      </c>
    </row>
    <row r="62" spans="1:16" ht="12.75" customHeight="1">
      <c r="A62" s="3" t="s">
        <v>56</v>
      </c>
      <c r="B62" s="26"/>
      <c r="C62" s="24"/>
      <c r="D62" s="26"/>
      <c r="E62" s="26"/>
      <c r="F62" s="26"/>
      <c r="G62" s="26"/>
      <c r="H62" s="26"/>
      <c r="I62" s="26">
        <v>500</v>
      </c>
      <c r="J62" s="24">
        <f>500</f>
        <v>500</v>
      </c>
      <c r="K62" s="24">
        <f>500</f>
        <v>500</v>
      </c>
      <c r="L62" s="24">
        <v>500</v>
      </c>
      <c r="M62" s="24">
        <v>500</v>
      </c>
      <c r="N62" s="24">
        <f t="shared" si="13"/>
        <v>2500</v>
      </c>
      <c r="O62" s="5">
        <v>3000</v>
      </c>
    </row>
    <row r="63" spans="1:16" ht="12.75" customHeight="1">
      <c r="A63" s="3" t="s">
        <v>57</v>
      </c>
      <c r="B63" s="26"/>
      <c r="C63" s="26"/>
      <c r="D63" s="26"/>
      <c r="E63" s="26"/>
      <c r="F63" s="26"/>
      <c r="G63" s="24">
        <v>125</v>
      </c>
      <c r="H63" s="24"/>
      <c r="I63" s="26"/>
      <c r="J63" s="26"/>
      <c r="K63" s="26"/>
      <c r="L63" s="26"/>
      <c r="M63" s="26">
        <v>125</v>
      </c>
      <c r="N63" s="24">
        <f t="shared" si="13"/>
        <v>250</v>
      </c>
      <c r="O63" s="5">
        <v>234.37</v>
      </c>
    </row>
    <row r="64" spans="1:16" ht="12.75" customHeight="1">
      <c r="A64" s="3" t="s">
        <v>58</v>
      </c>
      <c r="B64" s="6">
        <f t="shared" ref="B64:M64" si="14">(((((((((((B52)+(B53))+(B54))+(B55))+(B56))+(B57))+(B58))+(B59))+(B60))+(B61))+(B62))+(B63)</f>
        <v>2010</v>
      </c>
      <c r="C64" s="6">
        <f t="shared" si="14"/>
        <v>2720</v>
      </c>
      <c r="D64" s="6">
        <f t="shared" si="14"/>
        <v>1775</v>
      </c>
      <c r="E64" s="6">
        <f t="shared" si="14"/>
        <v>2010</v>
      </c>
      <c r="F64" s="6">
        <f t="shared" si="14"/>
        <v>1775</v>
      </c>
      <c r="G64" s="6">
        <f t="shared" si="14"/>
        <v>1900</v>
      </c>
      <c r="H64" s="6">
        <f t="shared" si="14"/>
        <v>2835</v>
      </c>
      <c r="I64" s="6">
        <f t="shared" si="14"/>
        <v>850</v>
      </c>
      <c r="J64" s="6">
        <f t="shared" si="14"/>
        <v>950</v>
      </c>
      <c r="K64" s="6">
        <f t="shared" si="14"/>
        <v>1085</v>
      </c>
      <c r="L64" s="6">
        <f t="shared" si="14"/>
        <v>850</v>
      </c>
      <c r="M64" s="6">
        <f t="shared" si="14"/>
        <v>975</v>
      </c>
      <c r="N64" s="6">
        <f t="shared" si="13"/>
        <v>19735</v>
      </c>
      <c r="O64" s="6">
        <f>SUM(O52:O63)</f>
        <v>21171.420000000002</v>
      </c>
    </row>
    <row r="65" spans="1:16" ht="12.75" customHeight="1">
      <c r="A65" s="3" t="s">
        <v>59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">
        <f t="shared" si="13"/>
        <v>0</v>
      </c>
      <c r="O65" s="5">
        <v>0</v>
      </c>
    </row>
    <row r="66" spans="1:16" ht="12.75" customHeight="1">
      <c r="A66" s="3" t="s">
        <v>60</v>
      </c>
      <c r="B66" s="5"/>
      <c r="C66" s="4"/>
      <c r="D66" s="4"/>
      <c r="E66" s="4"/>
      <c r="F66" s="4"/>
      <c r="G66" s="4"/>
      <c r="H66" s="4"/>
      <c r="I66" s="4">
        <v>100</v>
      </c>
      <c r="J66" s="4"/>
      <c r="K66" s="4"/>
      <c r="L66" s="4"/>
      <c r="M66" s="5">
        <v>100</v>
      </c>
      <c r="N66" s="5">
        <f t="shared" si="13"/>
        <v>200</v>
      </c>
      <c r="O66" s="5">
        <v>99.109999999999985</v>
      </c>
    </row>
    <row r="67" spans="1:16" ht="12.75" customHeight="1">
      <c r="A67" s="3" t="s">
        <v>61</v>
      </c>
      <c r="B67" s="4">
        <v>250</v>
      </c>
      <c r="C67" s="5"/>
      <c r="D67" s="5">
        <v>250</v>
      </c>
      <c r="E67" s="4"/>
      <c r="F67" s="5">
        <v>250</v>
      </c>
      <c r="G67" s="4"/>
      <c r="H67" s="5">
        <v>4000</v>
      </c>
      <c r="I67" s="4"/>
      <c r="J67" s="4"/>
      <c r="K67" s="4"/>
      <c r="L67" s="4"/>
      <c r="M67" s="4"/>
      <c r="N67" s="5">
        <f t="shared" si="13"/>
        <v>4750</v>
      </c>
      <c r="O67" s="5">
        <v>4939.24</v>
      </c>
    </row>
    <row r="68" spans="1:16" ht="12.75" customHeight="1">
      <c r="A68" s="3" t="s">
        <v>62</v>
      </c>
      <c r="B68" s="6">
        <f t="shared" ref="B68:M68" si="15">((B65)+(B66))+(B67)</f>
        <v>250</v>
      </c>
      <c r="C68" s="6">
        <f t="shared" si="15"/>
        <v>0</v>
      </c>
      <c r="D68" s="6">
        <f t="shared" si="15"/>
        <v>250</v>
      </c>
      <c r="E68" s="6">
        <f t="shared" si="15"/>
        <v>0</v>
      </c>
      <c r="F68" s="6">
        <f t="shared" si="15"/>
        <v>250</v>
      </c>
      <c r="G68" s="6">
        <f t="shared" si="15"/>
        <v>0</v>
      </c>
      <c r="H68" s="6">
        <f t="shared" si="15"/>
        <v>4000</v>
      </c>
      <c r="I68" s="6">
        <f t="shared" si="15"/>
        <v>100</v>
      </c>
      <c r="J68" s="6">
        <f t="shared" si="15"/>
        <v>0</v>
      </c>
      <c r="K68" s="6">
        <f t="shared" si="15"/>
        <v>0</v>
      </c>
      <c r="L68" s="6">
        <f t="shared" si="15"/>
        <v>0</v>
      </c>
      <c r="M68" s="6">
        <f t="shared" si="15"/>
        <v>100</v>
      </c>
      <c r="N68" s="6">
        <f t="shared" si="13"/>
        <v>4950</v>
      </c>
      <c r="O68" s="6">
        <f>SUM(O65:O67)</f>
        <v>5038.3499999999995</v>
      </c>
    </row>
    <row r="69" spans="1:16" ht="12.75" customHeight="1">
      <c r="A69" s="3" t="s">
        <v>63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5">
        <f t="shared" si="13"/>
        <v>0</v>
      </c>
      <c r="O69" s="5">
        <v>0</v>
      </c>
    </row>
    <row r="70" spans="1:16" ht="12.75" customHeight="1">
      <c r="A70" s="3" t="s">
        <v>64</v>
      </c>
      <c r="B70" s="4">
        <v>1355</v>
      </c>
      <c r="C70" s="5"/>
      <c r="D70" s="4"/>
      <c r="E70" s="5">
        <v>1355</v>
      </c>
      <c r="F70" s="4"/>
      <c r="G70" s="4"/>
      <c r="H70" s="4">
        <v>1355</v>
      </c>
      <c r="I70" s="5">
        <v>0</v>
      </c>
      <c r="J70" s="4"/>
      <c r="K70" s="4">
        <v>1355</v>
      </c>
      <c r="L70" s="5"/>
      <c r="M70" s="4"/>
      <c r="N70" s="5">
        <f t="shared" si="13"/>
        <v>5420</v>
      </c>
      <c r="O70" s="5">
        <v>5420</v>
      </c>
    </row>
    <row r="71" spans="1:16" ht="12.75" customHeight="1">
      <c r="A71" s="3" t="s">
        <v>65</v>
      </c>
      <c r="B71" s="6">
        <f t="shared" ref="B71:M71" si="16">(B69)+(B70)</f>
        <v>1355</v>
      </c>
      <c r="C71" s="6">
        <f t="shared" si="16"/>
        <v>0</v>
      </c>
      <c r="D71" s="6">
        <f t="shared" si="16"/>
        <v>0</v>
      </c>
      <c r="E71" s="6">
        <f t="shared" si="16"/>
        <v>1355</v>
      </c>
      <c r="F71" s="6">
        <f t="shared" si="16"/>
        <v>0</v>
      </c>
      <c r="G71" s="6">
        <f t="shared" si="16"/>
        <v>0</v>
      </c>
      <c r="H71" s="6">
        <f t="shared" si="16"/>
        <v>1355</v>
      </c>
      <c r="I71" s="6">
        <f t="shared" si="16"/>
        <v>0</v>
      </c>
      <c r="J71" s="6">
        <f t="shared" si="16"/>
        <v>0</v>
      </c>
      <c r="K71" s="6">
        <f t="shared" si="16"/>
        <v>1355</v>
      </c>
      <c r="L71" s="6">
        <f t="shared" si="16"/>
        <v>0</v>
      </c>
      <c r="M71" s="6">
        <f t="shared" si="16"/>
        <v>0</v>
      </c>
      <c r="N71" s="6">
        <f t="shared" si="13"/>
        <v>5420</v>
      </c>
      <c r="O71" s="6">
        <f>SUM(O69:O70)</f>
        <v>5420</v>
      </c>
    </row>
    <row r="72" spans="1:16" ht="12.75" customHeight="1">
      <c r="A72" s="3" t="s">
        <v>66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5">
        <f t="shared" si="13"/>
        <v>0</v>
      </c>
      <c r="O72" s="5">
        <v>0</v>
      </c>
    </row>
    <row r="73" spans="1:16" ht="12.75" customHeight="1">
      <c r="A73" s="3" t="s">
        <v>67</v>
      </c>
      <c r="B73" s="5">
        <v>1438</v>
      </c>
      <c r="C73" s="5">
        <v>1438</v>
      </c>
      <c r="D73" s="5">
        <v>1438</v>
      </c>
      <c r="E73" s="5">
        <v>1438</v>
      </c>
      <c r="F73" s="5">
        <v>1438</v>
      </c>
      <c r="G73" s="5">
        <v>1438</v>
      </c>
      <c r="H73" s="5">
        <v>1438</v>
      </c>
      <c r="I73" s="5">
        <v>1438</v>
      </c>
      <c r="J73" s="5">
        <v>1438</v>
      </c>
      <c r="K73" s="5">
        <f>1438+805</f>
        <v>2243</v>
      </c>
      <c r="L73" s="5">
        <v>1438</v>
      </c>
      <c r="M73" s="5">
        <v>1438</v>
      </c>
      <c r="N73" s="5">
        <f t="shared" si="13"/>
        <v>18061</v>
      </c>
      <c r="O73" s="5">
        <v>19024.000000000004</v>
      </c>
    </row>
    <row r="74" spans="1:16" ht="12.75" customHeight="1">
      <c r="A74" s="3" t="s">
        <v>68</v>
      </c>
      <c r="B74" s="24">
        <f>'Assistant Pro'!E18</f>
        <v>1560</v>
      </c>
      <c r="C74" s="24">
        <f>'Assistant Pro'!F18</f>
        <v>1560</v>
      </c>
      <c r="D74" s="24">
        <f>'Assistant Pro'!G18</f>
        <v>990</v>
      </c>
      <c r="E74" s="24">
        <f>'Assistant Pro'!H18</f>
        <v>1560</v>
      </c>
      <c r="F74" s="24">
        <f>'Assistant Pro'!I18</f>
        <v>1560</v>
      </c>
      <c r="G74" s="26">
        <f>'Assistant Pro'!J18</f>
        <v>570</v>
      </c>
      <c r="H74" s="24">
        <f>'Assistant Pro'!K18</f>
        <v>0</v>
      </c>
      <c r="I74" s="26">
        <f>'Assistant Pro'!L18</f>
        <v>420</v>
      </c>
      <c r="J74" s="24">
        <f>'Assistant Pro'!M18</f>
        <v>420</v>
      </c>
      <c r="K74" s="26">
        <f>'Assistant Pro'!N18</f>
        <v>420</v>
      </c>
      <c r="L74" s="26">
        <f>'Assistant Pro'!O18</f>
        <v>420</v>
      </c>
      <c r="M74" s="24">
        <f>'Assistant Pro'!P18</f>
        <v>105</v>
      </c>
      <c r="N74" s="5">
        <f>(((((((((((B74)+(C74))+(D74))+(E74))+(F74))+(G74))+(H74))+(I74))+(J74))+(K74))+(L74))+(M74)</f>
        <v>9585</v>
      </c>
      <c r="O74" s="5">
        <v>9360</v>
      </c>
      <c r="P74" s="11"/>
    </row>
    <row r="75" spans="1:16" ht="12.75" customHeight="1">
      <c r="A75" s="3" t="s">
        <v>69</v>
      </c>
      <c r="B75" s="6">
        <f t="shared" ref="B75:M75" si="17">((B72)+(B73))+(B74)</f>
        <v>2998</v>
      </c>
      <c r="C75" s="6">
        <f t="shared" si="17"/>
        <v>2998</v>
      </c>
      <c r="D75" s="6">
        <f t="shared" si="17"/>
        <v>2428</v>
      </c>
      <c r="E75" s="6">
        <f t="shared" si="17"/>
        <v>2998</v>
      </c>
      <c r="F75" s="6">
        <f t="shared" si="17"/>
        <v>2998</v>
      </c>
      <c r="G75" s="6">
        <f>((G72)+(G73))+(G74)</f>
        <v>2008</v>
      </c>
      <c r="H75" s="6">
        <f>((H72)+(H73))+(H74)</f>
        <v>1438</v>
      </c>
      <c r="I75" s="6">
        <f t="shared" si="17"/>
        <v>1858</v>
      </c>
      <c r="J75" s="6">
        <f t="shared" si="17"/>
        <v>1858</v>
      </c>
      <c r="K75" s="6">
        <f t="shared" si="17"/>
        <v>2663</v>
      </c>
      <c r="L75" s="6">
        <f t="shared" si="17"/>
        <v>1858</v>
      </c>
      <c r="M75" s="6">
        <f t="shared" si="17"/>
        <v>1543</v>
      </c>
      <c r="N75" s="6">
        <f t="shared" si="13"/>
        <v>27646</v>
      </c>
      <c r="O75" s="6">
        <f>SUM(O72:O74)</f>
        <v>28384.000000000004</v>
      </c>
    </row>
    <row r="76" spans="1:16" ht="12.75" customHeight="1">
      <c r="A76" s="3" t="s">
        <v>70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5">
        <f t="shared" si="13"/>
        <v>0</v>
      </c>
      <c r="O76" s="5">
        <v>0</v>
      </c>
    </row>
    <row r="77" spans="1:16" ht="12.75" customHeight="1">
      <c r="A77" s="3" t="s">
        <v>71</v>
      </c>
      <c r="B77" s="22"/>
      <c r="C77" s="22"/>
      <c r="D77" s="23"/>
      <c r="E77" s="23"/>
      <c r="F77" s="22"/>
      <c r="G77" s="23"/>
      <c r="H77" s="22"/>
      <c r="I77" s="22"/>
      <c r="J77" s="23"/>
      <c r="K77" s="22"/>
      <c r="L77" s="23"/>
      <c r="M77" s="22"/>
      <c r="N77" s="5">
        <f t="shared" si="13"/>
        <v>0</v>
      </c>
      <c r="O77" s="5">
        <v>2013.8300000000002</v>
      </c>
      <c r="P77" s="11" t="s">
        <v>218</v>
      </c>
    </row>
    <row r="78" spans="1:16" ht="12.75" customHeight="1">
      <c r="A78" s="3" t="s">
        <v>72</v>
      </c>
      <c r="B78" s="6">
        <f t="shared" ref="B78:M78" si="18">(B76)+(B77)</f>
        <v>0</v>
      </c>
      <c r="C78" s="6">
        <f t="shared" si="18"/>
        <v>0</v>
      </c>
      <c r="D78" s="6">
        <f t="shared" si="18"/>
        <v>0</v>
      </c>
      <c r="E78" s="6">
        <f t="shared" si="18"/>
        <v>0</v>
      </c>
      <c r="F78" s="6">
        <f t="shared" si="18"/>
        <v>0</v>
      </c>
      <c r="G78" s="6">
        <f t="shared" si="18"/>
        <v>0</v>
      </c>
      <c r="H78" s="6">
        <f t="shared" si="18"/>
        <v>0</v>
      </c>
      <c r="I78" s="6">
        <f t="shared" si="18"/>
        <v>0</v>
      </c>
      <c r="J78" s="6">
        <f t="shared" si="18"/>
        <v>0</v>
      </c>
      <c r="K78" s="6">
        <f t="shared" si="18"/>
        <v>0</v>
      </c>
      <c r="L78" s="6">
        <f t="shared" si="18"/>
        <v>0</v>
      </c>
      <c r="M78" s="6">
        <f t="shared" si="18"/>
        <v>0</v>
      </c>
      <c r="N78" s="6">
        <f t="shared" si="13"/>
        <v>0</v>
      </c>
      <c r="O78" s="6">
        <f>SUM(O76:O77)</f>
        <v>2013.8300000000002</v>
      </c>
    </row>
    <row r="79" spans="1:16" ht="12.75" customHeight="1">
      <c r="A79" s="3" t="s">
        <v>73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5">
        <f t="shared" si="13"/>
        <v>0</v>
      </c>
      <c r="O79" s="5">
        <v>0</v>
      </c>
    </row>
    <row r="80" spans="1:16" ht="12.75" customHeight="1">
      <c r="A80" s="3" t="s">
        <v>74</v>
      </c>
      <c r="B80" s="23"/>
      <c r="C80" s="23"/>
      <c r="D80" s="23"/>
      <c r="E80" s="23"/>
      <c r="F80" s="23"/>
      <c r="G80" s="22"/>
      <c r="H80" s="23"/>
      <c r="I80" s="23"/>
      <c r="J80" s="23"/>
      <c r="K80" s="23"/>
      <c r="L80" s="23"/>
      <c r="M80" s="23"/>
      <c r="N80" s="5">
        <f t="shared" si="13"/>
        <v>0</v>
      </c>
      <c r="O80" s="5">
        <v>193.37</v>
      </c>
    </row>
    <row r="81" spans="1:16" ht="12.75" customHeight="1">
      <c r="A81" s="3" t="s">
        <v>75</v>
      </c>
      <c r="B81" s="6">
        <f t="shared" ref="B81:M81" si="19">(B79)+(B80)</f>
        <v>0</v>
      </c>
      <c r="C81" s="6">
        <f t="shared" si="19"/>
        <v>0</v>
      </c>
      <c r="D81" s="6">
        <f t="shared" si="19"/>
        <v>0</v>
      </c>
      <c r="E81" s="6">
        <f t="shared" si="19"/>
        <v>0</v>
      </c>
      <c r="F81" s="6">
        <f t="shared" si="19"/>
        <v>0</v>
      </c>
      <c r="G81" s="6">
        <f t="shared" si="19"/>
        <v>0</v>
      </c>
      <c r="H81" s="6">
        <f t="shared" si="19"/>
        <v>0</v>
      </c>
      <c r="I81" s="6">
        <f t="shared" si="19"/>
        <v>0</v>
      </c>
      <c r="J81" s="6">
        <f t="shared" si="19"/>
        <v>0</v>
      </c>
      <c r="K81" s="6">
        <f t="shared" si="19"/>
        <v>0</v>
      </c>
      <c r="L81" s="6">
        <f t="shared" si="19"/>
        <v>0</v>
      </c>
      <c r="M81" s="6">
        <f t="shared" si="19"/>
        <v>0</v>
      </c>
      <c r="N81" s="6">
        <f t="shared" si="13"/>
        <v>0</v>
      </c>
      <c r="O81" s="6">
        <f>SUM(O79:O80)</f>
        <v>193.37</v>
      </c>
    </row>
    <row r="82" spans="1:16" ht="12.75" customHeight="1">
      <c r="A82" s="3" t="s">
        <v>76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5">
        <f t="shared" si="13"/>
        <v>0</v>
      </c>
      <c r="O82" s="5">
        <v>0</v>
      </c>
    </row>
    <row r="83" spans="1:16" ht="12.75" customHeight="1">
      <c r="A83" s="3" t="s">
        <v>77</v>
      </c>
      <c r="B83" s="5"/>
      <c r="C83" s="5"/>
      <c r="D83" s="5"/>
      <c r="E83" s="5"/>
      <c r="F83" s="4"/>
      <c r="G83" s="4"/>
      <c r="H83" s="4"/>
      <c r="I83" s="5"/>
      <c r="J83" s="4"/>
      <c r="K83" s="4"/>
      <c r="L83" s="4"/>
      <c r="M83" s="4"/>
      <c r="N83" s="5">
        <f t="shared" si="13"/>
        <v>0</v>
      </c>
      <c r="O83" s="5">
        <v>517.47</v>
      </c>
    </row>
    <row r="84" spans="1:16" ht="12.75" customHeight="1">
      <c r="A84" s="3" t="s">
        <v>78</v>
      </c>
      <c r="B84" s="6">
        <f t="shared" ref="B84:M84" si="20">(B82)+(B83)</f>
        <v>0</v>
      </c>
      <c r="C84" s="6">
        <f t="shared" si="20"/>
        <v>0</v>
      </c>
      <c r="D84" s="6">
        <f t="shared" si="20"/>
        <v>0</v>
      </c>
      <c r="E84" s="6">
        <f t="shared" si="20"/>
        <v>0</v>
      </c>
      <c r="F84" s="6">
        <f t="shared" si="20"/>
        <v>0</v>
      </c>
      <c r="G84" s="6">
        <f t="shared" si="20"/>
        <v>0</v>
      </c>
      <c r="H84" s="6">
        <f t="shared" si="20"/>
        <v>0</v>
      </c>
      <c r="I84" s="6">
        <f t="shared" si="20"/>
        <v>0</v>
      </c>
      <c r="J84" s="6">
        <f t="shared" si="20"/>
        <v>0</v>
      </c>
      <c r="K84" s="6">
        <f t="shared" si="20"/>
        <v>0</v>
      </c>
      <c r="L84" s="6">
        <f t="shared" si="20"/>
        <v>0</v>
      </c>
      <c r="M84" s="6">
        <f t="shared" si="20"/>
        <v>0</v>
      </c>
      <c r="N84" s="6">
        <f t="shared" si="13"/>
        <v>0</v>
      </c>
      <c r="O84" s="6">
        <f>SUM(O82:O83)</f>
        <v>517.47</v>
      </c>
    </row>
    <row r="85" spans="1:16" ht="12.75" customHeight="1">
      <c r="A85" s="3" t="s">
        <v>79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5">
        <f t="shared" si="13"/>
        <v>0</v>
      </c>
      <c r="O85" s="5">
        <v>0</v>
      </c>
    </row>
    <row r="86" spans="1:16" ht="12.75" customHeight="1">
      <c r="A86" s="3" t="s">
        <v>80</v>
      </c>
      <c r="B86" s="5">
        <v>225</v>
      </c>
      <c r="C86" s="5">
        <v>225</v>
      </c>
      <c r="D86" s="5">
        <v>225</v>
      </c>
      <c r="E86" s="5">
        <v>225</v>
      </c>
      <c r="F86" s="5">
        <v>225</v>
      </c>
      <c r="G86" s="5">
        <v>225</v>
      </c>
      <c r="H86" s="5">
        <v>225</v>
      </c>
      <c r="I86" s="5">
        <v>225</v>
      </c>
      <c r="J86" s="5">
        <v>225</v>
      </c>
      <c r="K86" s="5">
        <v>225</v>
      </c>
      <c r="L86" s="5">
        <v>225</v>
      </c>
      <c r="M86" s="5">
        <v>225</v>
      </c>
      <c r="N86" s="5">
        <f t="shared" si="13"/>
        <v>2700</v>
      </c>
      <c r="O86" s="5">
        <v>2610.46</v>
      </c>
    </row>
    <row r="87" spans="1:16" ht="12.75" customHeight="1">
      <c r="A87" s="3" t="s">
        <v>81</v>
      </c>
      <c r="B87" s="5">
        <v>1250</v>
      </c>
      <c r="C87" s="5">
        <v>4500</v>
      </c>
      <c r="D87" s="5">
        <v>4500</v>
      </c>
      <c r="E87" s="5">
        <v>5500</v>
      </c>
      <c r="F87" s="5">
        <v>5500</v>
      </c>
      <c r="G87" s="5">
        <v>5500</v>
      </c>
      <c r="H87" s="5">
        <v>5500</v>
      </c>
      <c r="I87" s="5">
        <v>4500</v>
      </c>
      <c r="J87" s="5">
        <v>750</v>
      </c>
      <c r="K87" s="5">
        <v>750</v>
      </c>
      <c r="L87" s="5">
        <v>750</v>
      </c>
      <c r="M87" s="5">
        <f>1229.61</f>
        <v>1229.6099999999999</v>
      </c>
      <c r="N87" s="5">
        <f t="shared" si="13"/>
        <v>40229.61</v>
      </c>
      <c r="O87" s="5">
        <v>41687.030000000006</v>
      </c>
    </row>
    <row r="88" spans="1:16" ht="12.75" customHeight="1">
      <c r="A88" s="3" t="s">
        <v>82</v>
      </c>
      <c r="B88" s="5">
        <v>1000</v>
      </c>
      <c r="C88" s="5">
        <v>1000</v>
      </c>
      <c r="D88" s="5">
        <v>1300</v>
      </c>
      <c r="E88" s="5">
        <v>2100</v>
      </c>
      <c r="F88" s="5">
        <v>2500</v>
      </c>
      <c r="G88" s="5">
        <v>2500</v>
      </c>
      <c r="H88" s="5">
        <v>2000</v>
      </c>
      <c r="I88" s="5">
        <v>1500</v>
      </c>
      <c r="J88" s="5">
        <v>200</v>
      </c>
      <c r="K88" s="5">
        <v>200</v>
      </c>
      <c r="L88" s="5">
        <v>200</v>
      </c>
      <c r="M88" s="5">
        <v>200</v>
      </c>
      <c r="N88" s="5">
        <f t="shared" si="13"/>
        <v>14700</v>
      </c>
      <c r="O88" s="5">
        <v>12884.690000000002</v>
      </c>
    </row>
    <row r="89" spans="1:16" ht="12.75" customHeight="1">
      <c r="A89" s="3" t="s">
        <v>83</v>
      </c>
      <c r="B89" s="5">
        <v>160</v>
      </c>
      <c r="C89" s="5">
        <v>160</v>
      </c>
      <c r="D89" s="5">
        <v>160</v>
      </c>
      <c r="E89" s="5">
        <v>160</v>
      </c>
      <c r="F89" s="5">
        <v>160</v>
      </c>
      <c r="G89" s="5">
        <v>160</v>
      </c>
      <c r="H89" s="5">
        <v>160</v>
      </c>
      <c r="I89" s="5">
        <v>160</v>
      </c>
      <c r="J89" s="5">
        <v>160</v>
      </c>
      <c r="K89" s="5">
        <v>160</v>
      </c>
      <c r="L89" s="5">
        <v>160</v>
      </c>
      <c r="M89" s="5">
        <v>160</v>
      </c>
      <c r="N89" s="5">
        <f t="shared" si="13"/>
        <v>1920</v>
      </c>
      <c r="O89" s="5">
        <v>2157.0100000000002</v>
      </c>
    </row>
    <row r="90" spans="1:16" ht="12.75" customHeight="1">
      <c r="A90" s="3" t="s">
        <v>84</v>
      </c>
      <c r="B90" s="6">
        <f t="shared" ref="B90:M90" si="21">((((B85)+(B86))+(B87))+(B88))+(B89)</f>
        <v>2635</v>
      </c>
      <c r="C90" s="6">
        <f t="shared" si="21"/>
        <v>5885</v>
      </c>
      <c r="D90" s="6">
        <f t="shared" si="21"/>
        <v>6185</v>
      </c>
      <c r="E90" s="6">
        <f t="shared" si="21"/>
        <v>7985</v>
      </c>
      <c r="F90" s="6">
        <f t="shared" si="21"/>
        <v>8385</v>
      </c>
      <c r="G90" s="6">
        <f t="shared" si="21"/>
        <v>8385</v>
      </c>
      <c r="H90" s="6">
        <f t="shared" si="21"/>
        <v>7885</v>
      </c>
      <c r="I90" s="6">
        <f t="shared" si="21"/>
        <v>6385</v>
      </c>
      <c r="J90" s="6">
        <f t="shared" si="21"/>
        <v>1335</v>
      </c>
      <c r="K90" s="6">
        <f t="shared" si="21"/>
        <v>1335</v>
      </c>
      <c r="L90" s="6">
        <f t="shared" si="21"/>
        <v>1335</v>
      </c>
      <c r="M90" s="6">
        <f t="shared" si="21"/>
        <v>1814.61</v>
      </c>
      <c r="N90" s="6">
        <f t="shared" si="13"/>
        <v>59549.61</v>
      </c>
      <c r="O90" s="6">
        <f>SUM(O85:O89)</f>
        <v>59339.19000000001</v>
      </c>
    </row>
    <row r="91" spans="1:16" ht="12.75" customHeight="1">
      <c r="A91" s="3" t="s">
        <v>85</v>
      </c>
      <c r="B91" s="6">
        <f t="shared" ref="B91:M91" si="22">((((((((((((((B31)+(B34))+(B38))+(B41))+(B45))+(B48))+(B51))+(B64))+(B68))+(B71))+(B75))+(B78))+(B81))+(B84))+(B90)</f>
        <v>16173</v>
      </c>
      <c r="C91" s="6">
        <f t="shared" si="22"/>
        <v>13668</v>
      </c>
      <c r="D91" s="6">
        <f t="shared" si="22"/>
        <v>11063</v>
      </c>
      <c r="E91" s="6">
        <f t="shared" si="22"/>
        <v>14413</v>
      </c>
      <c r="F91" s="6">
        <f t="shared" si="22"/>
        <v>13473</v>
      </c>
      <c r="G91" s="6">
        <f t="shared" si="22"/>
        <v>16341.35</v>
      </c>
      <c r="H91" s="6">
        <f t="shared" si="22"/>
        <v>27562</v>
      </c>
      <c r="I91" s="6">
        <f t="shared" si="22"/>
        <v>9657.6</v>
      </c>
      <c r="J91" s="6">
        <f t="shared" si="22"/>
        <v>4833</v>
      </c>
      <c r="K91" s="6">
        <f t="shared" si="22"/>
        <v>6503</v>
      </c>
      <c r="L91" s="6">
        <f t="shared" si="22"/>
        <v>4108</v>
      </c>
      <c r="M91" s="6">
        <f t="shared" si="22"/>
        <v>4497.6099999999997</v>
      </c>
      <c r="N91" s="6">
        <f t="shared" si="13"/>
        <v>142292.56</v>
      </c>
      <c r="O91" s="6">
        <f>O31+O34+O38+O41+O45+O48+O51+O64+O68+O71+O75+O78+O81+O84+O90</f>
        <v>146580.12000000002</v>
      </c>
    </row>
    <row r="92" spans="1:16" ht="12.75" customHeight="1">
      <c r="A92" s="3" t="s">
        <v>86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6" ht="12.75" customHeight="1">
      <c r="A93" s="3" t="s">
        <v>87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5">
        <f t="shared" ref="N93:N98" si="23">(((((((((((B93)+(C93))+(D93))+(E93))+(F93))+(G93))+(H93))+(I93))+(J93))+(K93))+(L93))+(M93)</f>
        <v>0</v>
      </c>
      <c r="O93" s="5">
        <v>0</v>
      </c>
    </row>
    <row r="94" spans="1:16" ht="12.75" customHeight="1">
      <c r="A94" s="3" t="s">
        <v>88</v>
      </c>
      <c r="B94" s="23"/>
      <c r="C94" s="23"/>
      <c r="D94" s="22"/>
      <c r="E94" s="22"/>
      <c r="F94" s="22"/>
      <c r="G94" s="23"/>
      <c r="H94" s="23"/>
      <c r="I94" s="22"/>
      <c r="J94" s="23"/>
      <c r="K94" s="23"/>
      <c r="L94" s="23"/>
      <c r="M94" s="22"/>
      <c r="N94" s="5">
        <f t="shared" si="23"/>
        <v>0</v>
      </c>
      <c r="O94" s="5">
        <v>28150.7</v>
      </c>
      <c r="P94" s="11" t="s">
        <v>222</v>
      </c>
    </row>
    <row r="95" spans="1:16" ht="12.75" customHeight="1">
      <c r="A95" s="3" t="s">
        <v>89</v>
      </c>
      <c r="B95" s="22">
        <v>-765.56854577777779</v>
      </c>
      <c r="C95" s="22">
        <v>-771.07237866666674</v>
      </c>
      <c r="D95" s="22">
        <v>-756.10947911111123</v>
      </c>
      <c r="E95" s="22">
        <v>-738.94015111111105</v>
      </c>
      <c r="F95" s="22">
        <v>-720.80837511111088</v>
      </c>
      <c r="G95" s="22">
        <v>-565.5467837333332</v>
      </c>
      <c r="H95" s="22">
        <v>-408.19114346666657</v>
      </c>
      <c r="I95" s="22">
        <v>-268.19834346666659</v>
      </c>
      <c r="J95" s="22">
        <v>-196.55301013333326</v>
      </c>
      <c r="K95" s="22">
        <v>-121.34901013333327</v>
      </c>
      <c r="L95" s="22">
        <v>-49.338343466666608</v>
      </c>
      <c r="M95" s="22">
        <v>-10.141530133333271</v>
      </c>
      <c r="N95" s="5">
        <f t="shared" si="23"/>
        <v>-5371.8170943111108</v>
      </c>
      <c r="O95" s="5">
        <v>-3408.3000000000006</v>
      </c>
      <c r="P95" s="11" t="s">
        <v>220</v>
      </c>
    </row>
    <row r="96" spans="1:16" ht="12.75" customHeight="1">
      <c r="A96" s="3" t="s">
        <v>90</v>
      </c>
      <c r="B96" s="6">
        <f t="shared" ref="B96:M96" si="24">((B93)+(B94))+(B95)</f>
        <v>-765.56854577777779</v>
      </c>
      <c r="C96" s="6">
        <f t="shared" si="24"/>
        <v>-771.07237866666674</v>
      </c>
      <c r="D96" s="6">
        <f t="shared" si="24"/>
        <v>-756.10947911111123</v>
      </c>
      <c r="E96" s="6">
        <f t="shared" si="24"/>
        <v>-738.94015111111105</v>
      </c>
      <c r="F96" s="6">
        <f t="shared" si="24"/>
        <v>-720.80837511111088</v>
      </c>
      <c r="G96" s="6">
        <f t="shared" si="24"/>
        <v>-565.5467837333332</v>
      </c>
      <c r="H96" s="6">
        <f t="shared" si="24"/>
        <v>-408.19114346666657</v>
      </c>
      <c r="I96" s="6">
        <f t="shared" si="24"/>
        <v>-268.19834346666659</v>
      </c>
      <c r="J96" s="6">
        <f t="shared" si="24"/>
        <v>-196.55301013333326</v>
      </c>
      <c r="K96" s="6">
        <f t="shared" si="24"/>
        <v>-121.34901013333327</v>
      </c>
      <c r="L96" s="6">
        <f t="shared" si="24"/>
        <v>-49.338343466666608</v>
      </c>
      <c r="M96" s="6">
        <f t="shared" si="24"/>
        <v>-10.141530133333271</v>
      </c>
      <c r="N96" s="6">
        <f t="shared" si="23"/>
        <v>-5371.8170943111108</v>
      </c>
      <c r="O96" s="6">
        <f>SUM(O93:O95)</f>
        <v>24742.400000000001</v>
      </c>
    </row>
    <row r="97" spans="1:15" ht="12.75" customHeight="1">
      <c r="A97" s="3" t="s">
        <v>91</v>
      </c>
      <c r="B97" s="6">
        <f t="shared" ref="B97:M97" si="25">B96</f>
        <v>-765.56854577777779</v>
      </c>
      <c r="C97" s="6">
        <f t="shared" si="25"/>
        <v>-771.07237866666674</v>
      </c>
      <c r="D97" s="6">
        <f t="shared" si="25"/>
        <v>-756.10947911111123</v>
      </c>
      <c r="E97" s="6">
        <f t="shared" si="25"/>
        <v>-738.94015111111105</v>
      </c>
      <c r="F97" s="6">
        <f t="shared" si="25"/>
        <v>-720.80837511111088</v>
      </c>
      <c r="G97" s="6">
        <f t="shared" si="25"/>
        <v>-565.5467837333332</v>
      </c>
      <c r="H97" s="6">
        <f t="shared" si="25"/>
        <v>-408.19114346666657</v>
      </c>
      <c r="I97" s="6">
        <f t="shared" si="25"/>
        <v>-268.19834346666659</v>
      </c>
      <c r="J97" s="6">
        <f t="shared" si="25"/>
        <v>-196.55301013333326</v>
      </c>
      <c r="K97" s="6">
        <f t="shared" si="25"/>
        <v>-121.34901013333327</v>
      </c>
      <c r="L97" s="6">
        <f t="shared" si="25"/>
        <v>-49.338343466666608</v>
      </c>
      <c r="M97" s="6">
        <f t="shared" si="25"/>
        <v>-10.141530133333271</v>
      </c>
      <c r="N97" s="6">
        <f t="shared" si="23"/>
        <v>-5371.8170943111108</v>
      </c>
      <c r="O97" s="6">
        <v>24742.399999999994</v>
      </c>
    </row>
    <row r="98" spans="1:15" ht="12.75" customHeight="1">
      <c r="A98" s="3" t="s">
        <v>92</v>
      </c>
      <c r="B98" s="6">
        <f t="shared" ref="B98:M98" si="26">(((B27)-(B91))+(0))-(B97)</f>
        <v>148641.56854577779</v>
      </c>
      <c r="C98" s="6">
        <f t="shared" si="26"/>
        <v>5672.0723786666667</v>
      </c>
      <c r="D98" s="6">
        <f t="shared" si="26"/>
        <v>-9706.8905208888882</v>
      </c>
      <c r="E98" s="6">
        <f t="shared" si="26"/>
        <v>-11395.059848888888</v>
      </c>
      <c r="F98" s="6">
        <f t="shared" si="26"/>
        <v>-12152.191624888888</v>
      </c>
      <c r="G98" s="6">
        <f t="shared" si="26"/>
        <v>-15175.803216266668</v>
      </c>
      <c r="H98" s="6">
        <f t="shared" si="26"/>
        <v>-16926.808856533335</v>
      </c>
      <c r="I98" s="6">
        <f t="shared" si="26"/>
        <v>-4726.4016565333341</v>
      </c>
      <c r="J98" s="6">
        <f t="shared" si="26"/>
        <v>-3537.4469898666666</v>
      </c>
      <c r="K98" s="6">
        <f t="shared" si="26"/>
        <v>-6281.6509898666664</v>
      </c>
      <c r="L98" s="6">
        <f t="shared" si="26"/>
        <v>-3958.6616565333334</v>
      </c>
      <c r="M98" s="6">
        <f t="shared" si="26"/>
        <v>-4387.4684698666661</v>
      </c>
      <c r="N98" s="6">
        <f t="shared" si="23"/>
        <v>66065.25709431112</v>
      </c>
      <c r="O98" s="6">
        <f>O24-O91-O96</f>
        <v>33874.769999999953</v>
      </c>
    </row>
    <row r="99" spans="1:15" ht="12.75" customHeight="1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5" ht="12.75" customHeight="1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5" ht="12.75" customHeight="1">
      <c r="A101" s="3" t="s">
        <v>294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3" spans="1:15">
      <c r="A103" s="3" t="s">
        <v>286</v>
      </c>
    </row>
    <row r="104" spans="1:15">
      <c r="A104" s="3" t="s">
        <v>287</v>
      </c>
      <c r="B104" s="51">
        <v>471032</v>
      </c>
    </row>
    <row r="105" spans="1:15">
      <c r="A105" s="3" t="s">
        <v>288</v>
      </c>
      <c r="B105" s="51">
        <v>43965</v>
      </c>
    </row>
    <row r="106" spans="1:15">
      <c r="A106" s="3" t="s">
        <v>289</v>
      </c>
      <c r="B106" s="52">
        <f>+B104-B105</f>
        <v>427067</v>
      </c>
      <c r="C106" s="52">
        <f>+B112</f>
        <v>575708.56854577782</v>
      </c>
      <c r="D106" s="52">
        <f t="shared" ref="D106:N106" si="27">+C112</f>
        <v>581380.64092444454</v>
      </c>
      <c r="E106" s="52">
        <f t="shared" si="27"/>
        <v>571673.75040355569</v>
      </c>
      <c r="F106" s="52">
        <f t="shared" si="27"/>
        <v>560278.6905546668</v>
      </c>
      <c r="G106" s="52">
        <f t="shared" si="27"/>
        <v>548126.49892977788</v>
      </c>
      <c r="H106" s="52">
        <f t="shared" si="27"/>
        <v>432950.6957135112</v>
      </c>
      <c r="I106" s="52">
        <f t="shared" si="27"/>
        <v>316023.88685697789</v>
      </c>
      <c r="J106" s="52">
        <f t="shared" si="27"/>
        <v>211297.48520044453</v>
      </c>
      <c r="K106" s="52">
        <f t="shared" si="27"/>
        <v>157760.03821057786</v>
      </c>
      <c r="L106" s="52">
        <f t="shared" si="27"/>
        <v>101478.38722071119</v>
      </c>
      <c r="M106" s="52">
        <f t="shared" si="27"/>
        <v>47519.725564177847</v>
      </c>
      <c r="N106" s="52">
        <f t="shared" si="27"/>
        <v>18132.257094311179</v>
      </c>
    </row>
    <row r="107" spans="1:15">
      <c r="B107" s="51"/>
    </row>
    <row r="108" spans="1:15">
      <c r="A108" s="3" t="s">
        <v>290</v>
      </c>
      <c r="B108" s="51">
        <f t="shared" ref="B108:N108" si="28">+B98</f>
        <v>148641.56854577779</v>
      </c>
      <c r="C108" s="51">
        <f t="shared" si="28"/>
        <v>5672.0723786666667</v>
      </c>
      <c r="D108" s="51">
        <f t="shared" si="28"/>
        <v>-9706.8905208888882</v>
      </c>
      <c r="E108" s="51">
        <f t="shared" si="28"/>
        <v>-11395.059848888888</v>
      </c>
      <c r="F108" s="51">
        <f t="shared" si="28"/>
        <v>-12152.191624888888</v>
      </c>
      <c r="G108" s="51">
        <f t="shared" si="28"/>
        <v>-15175.803216266668</v>
      </c>
      <c r="H108" s="51">
        <f t="shared" si="28"/>
        <v>-16926.808856533335</v>
      </c>
      <c r="I108" s="51">
        <f t="shared" si="28"/>
        <v>-4726.4016565333341</v>
      </c>
      <c r="J108" s="51">
        <f t="shared" si="28"/>
        <v>-3537.4469898666666</v>
      </c>
      <c r="K108" s="51">
        <f t="shared" si="28"/>
        <v>-6281.6509898666664</v>
      </c>
      <c r="L108" s="51">
        <f t="shared" si="28"/>
        <v>-3958.6616565333334</v>
      </c>
      <c r="M108" s="51">
        <f t="shared" si="28"/>
        <v>-4387.4684698666661</v>
      </c>
      <c r="N108" s="51">
        <f t="shared" si="28"/>
        <v>66065.25709431112</v>
      </c>
    </row>
    <row r="109" spans="1:15">
      <c r="A109" s="3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</row>
    <row r="110" spans="1:15">
      <c r="A110" s="3" t="s">
        <v>293</v>
      </c>
      <c r="B110" s="51"/>
      <c r="C110" s="51"/>
      <c r="D110" s="51"/>
      <c r="E110" s="51"/>
      <c r="F110" s="51"/>
      <c r="G110" s="51">
        <v>-100000</v>
      </c>
      <c r="H110" s="51">
        <v>-100000</v>
      </c>
      <c r="I110" s="51">
        <v>-100000</v>
      </c>
      <c r="J110" s="51">
        <v>-50000</v>
      </c>
      <c r="K110" s="51">
        <v>-50000</v>
      </c>
      <c r="L110" s="51">
        <v>-50000</v>
      </c>
      <c r="M110" s="51">
        <v>-25000</v>
      </c>
      <c r="N110" s="51">
        <f>SUM(B110:M110)</f>
        <v>-475000</v>
      </c>
    </row>
    <row r="111" spans="1:15">
      <c r="B111" s="51"/>
    </row>
    <row r="112" spans="1:15">
      <c r="A112" s="3" t="s">
        <v>291</v>
      </c>
      <c r="B112" s="52">
        <f>+B106+B108+B110</f>
        <v>575708.56854577782</v>
      </c>
      <c r="C112" s="52">
        <f t="shared" ref="C112:N112" si="29">+C106+C108+C110</f>
        <v>581380.64092444454</v>
      </c>
      <c r="D112" s="52">
        <f t="shared" si="29"/>
        <v>571673.75040355569</v>
      </c>
      <c r="E112" s="52">
        <f t="shared" si="29"/>
        <v>560278.6905546668</v>
      </c>
      <c r="F112" s="52">
        <f t="shared" si="29"/>
        <v>548126.49892977788</v>
      </c>
      <c r="G112" s="52">
        <f t="shared" si="29"/>
        <v>432950.6957135112</v>
      </c>
      <c r="H112" s="52">
        <f t="shared" si="29"/>
        <v>316023.88685697789</v>
      </c>
      <c r="I112" s="52">
        <f t="shared" si="29"/>
        <v>211297.48520044453</v>
      </c>
      <c r="J112" s="52">
        <f t="shared" si="29"/>
        <v>157760.03821057786</v>
      </c>
      <c r="K112" s="52">
        <f t="shared" si="29"/>
        <v>101478.38722071119</v>
      </c>
      <c r="L112" s="52">
        <f t="shared" si="29"/>
        <v>47519.725564177847</v>
      </c>
      <c r="M112" s="52">
        <f t="shared" si="29"/>
        <v>18132.257094311179</v>
      </c>
      <c r="N112" s="52">
        <f t="shared" si="29"/>
        <v>-390802.4858113777</v>
      </c>
    </row>
    <row r="113" spans="1:14">
      <c r="B113" s="51"/>
    </row>
    <row r="114" spans="1:14" s="51" customFormat="1">
      <c r="A114" s="53" t="s">
        <v>292</v>
      </c>
      <c r="B114" s="51">
        <f>-(+B112*0.016)/12</f>
        <v>-767.61142472770371</v>
      </c>
      <c r="C114" s="51">
        <f t="shared" ref="C114:M114" si="30">-(+C112*0.016)/12</f>
        <v>-775.17418789925944</v>
      </c>
      <c r="D114" s="51">
        <f t="shared" si="30"/>
        <v>-762.23166720474092</v>
      </c>
      <c r="E114" s="51">
        <f t="shared" si="30"/>
        <v>-747.03825407288912</v>
      </c>
      <c r="F114" s="51">
        <f t="shared" si="30"/>
        <v>-730.83533190637047</v>
      </c>
      <c r="G114" s="51">
        <f t="shared" si="30"/>
        <v>-577.26759428468165</v>
      </c>
      <c r="H114" s="51">
        <f t="shared" si="30"/>
        <v>-421.36518247597047</v>
      </c>
      <c r="I114" s="51">
        <f t="shared" si="30"/>
        <v>-281.72998026725935</v>
      </c>
      <c r="J114" s="51">
        <f t="shared" si="30"/>
        <v>-210.3467176141038</v>
      </c>
      <c r="K114" s="51">
        <f t="shared" si="30"/>
        <v>-135.30451629428157</v>
      </c>
      <c r="L114" s="51">
        <f t="shared" si="30"/>
        <v>-63.359634085570463</v>
      </c>
      <c r="M114" s="51">
        <f t="shared" si="30"/>
        <v>-24.176342792414903</v>
      </c>
      <c r="N114" s="51">
        <f>SUM(B114:M114)</f>
        <v>-5496.4408336252463</v>
      </c>
    </row>
  </sheetData>
  <mergeCells count="3">
    <mergeCell ref="A1:N1"/>
    <mergeCell ref="A2:N2"/>
    <mergeCell ref="A3:N3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F17" sqref="F17"/>
    </sheetView>
  </sheetViews>
  <sheetFormatPr defaultRowHeight="12.75"/>
  <cols>
    <col min="5" max="5" width="10.7109375" customWidth="1"/>
    <col min="6" max="6" width="17" customWidth="1"/>
  </cols>
  <sheetData>
    <row r="1" spans="1:10" ht="15">
      <c r="A1" s="9" t="s">
        <v>117</v>
      </c>
      <c r="B1" s="9"/>
      <c r="C1" s="9"/>
      <c r="D1" s="9"/>
      <c r="E1" s="9"/>
    </row>
    <row r="2" spans="1:10" ht="15">
      <c r="A2" s="9" t="s">
        <v>96</v>
      </c>
      <c r="B2" s="9"/>
      <c r="C2" s="9"/>
      <c r="D2" s="9"/>
      <c r="E2" s="9"/>
    </row>
    <row r="3" spans="1:10" ht="15">
      <c r="A3" s="10" t="s">
        <v>97</v>
      </c>
      <c r="B3" s="9"/>
      <c r="C3" s="9"/>
      <c r="D3" s="9"/>
      <c r="E3" s="9"/>
    </row>
    <row r="4" spans="1:10" ht="15">
      <c r="A4" s="9"/>
      <c r="B4" s="9"/>
      <c r="C4" s="9"/>
      <c r="D4" s="9"/>
      <c r="E4" s="9"/>
    </row>
    <row r="5" spans="1:10" ht="15">
      <c r="A5" s="9"/>
      <c r="B5" s="9"/>
      <c r="C5" s="9"/>
      <c r="D5" s="9"/>
      <c r="E5" s="9"/>
    </row>
    <row r="6" spans="1:10" ht="15">
      <c r="A6" s="9" t="s">
        <v>98</v>
      </c>
    </row>
    <row r="7" spans="1:10">
      <c r="C7" s="7" t="s">
        <v>100</v>
      </c>
      <c r="D7" s="7" t="s">
        <v>101</v>
      </c>
      <c r="E7" s="7" t="s">
        <v>101</v>
      </c>
      <c r="F7" s="7" t="s">
        <v>0</v>
      </c>
    </row>
    <row r="8" spans="1:10">
      <c r="C8" s="7"/>
      <c r="D8" s="7"/>
      <c r="E8" s="12" t="s">
        <v>102</v>
      </c>
      <c r="F8" s="7" t="s">
        <v>104</v>
      </c>
    </row>
    <row r="9" spans="1:10">
      <c r="A9" s="11" t="s">
        <v>99</v>
      </c>
      <c r="C9">
        <v>340</v>
      </c>
      <c r="D9">
        <v>535</v>
      </c>
      <c r="E9" s="13">
        <f>+D9/1/1.13</f>
        <v>473.45132743362836</v>
      </c>
      <c r="F9" s="13">
        <f>+C9*E9</f>
        <v>160973.45132743364</v>
      </c>
    </row>
    <row r="10" spans="1:10">
      <c r="A10" s="11" t="s">
        <v>103</v>
      </c>
      <c r="C10">
        <v>20</v>
      </c>
      <c r="D10">
        <v>250</v>
      </c>
      <c r="E10" s="13">
        <f t="shared" ref="E10:E28" si="0">+D10/1/1.13</f>
        <v>221.23893805309737</v>
      </c>
      <c r="F10" s="13">
        <f t="shared" ref="F10:F28" si="1">+C10*E10</f>
        <v>4424.7787610619471</v>
      </c>
    </row>
    <row r="11" spans="1:10">
      <c r="A11" s="11" t="s">
        <v>105</v>
      </c>
      <c r="C11">
        <v>8</v>
      </c>
      <c r="D11">
        <v>375</v>
      </c>
      <c r="E11" s="13">
        <f t="shared" si="0"/>
        <v>331.85840707964604</v>
      </c>
      <c r="F11" s="13">
        <f t="shared" si="1"/>
        <v>2654.8672566371683</v>
      </c>
    </row>
    <row r="12" spans="1:10">
      <c r="A12" s="11" t="s">
        <v>106</v>
      </c>
      <c r="E12" s="13"/>
      <c r="F12" s="13"/>
    </row>
    <row r="13" spans="1:10">
      <c r="B13" s="11" t="s">
        <v>107</v>
      </c>
      <c r="C13">
        <v>25</v>
      </c>
      <c r="D13">
        <v>155</v>
      </c>
      <c r="E13" s="13">
        <f t="shared" si="0"/>
        <v>137.16814159292036</v>
      </c>
      <c r="F13" s="13">
        <f t="shared" si="1"/>
        <v>3429.2035398230091</v>
      </c>
    </row>
    <row r="14" spans="1:10">
      <c r="B14" s="11" t="s">
        <v>108</v>
      </c>
      <c r="C14">
        <v>30</v>
      </c>
      <c r="D14">
        <v>250</v>
      </c>
      <c r="E14" s="13">
        <f t="shared" si="0"/>
        <v>221.23893805309737</v>
      </c>
      <c r="F14" s="13">
        <f t="shared" si="1"/>
        <v>6637.1681415929215</v>
      </c>
    </row>
    <row r="15" spans="1:10">
      <c r="E15" s="13">
        <f t="shared" si="0"/>
        <v>0</v>
      </c>
      <c r="F15" s="15">
        <f>+F13+F14</f>
        <v>10066.371681415931</v>
      </c>
      <c r="G15" s="11" t="s">
        <v>217</v>
      </c>
      <c r="J15" s="13">
        <f>+F15*0.08</f>
        <v>805.30973451327452</v>
      </c>
    </row>
    <row r="16" spans="1:10">
      <c r="E16" s="13"/>
      <c r="F16" s="16"/>
    </row>
    <row r="17" spans="1:6">
      <c r="A17" s="11" t="s">
        <v>109</v>
      </c>
      <c r="C17">
        <v>15</v>
      </c>
      <c r="D17">
        <v>375</v>
      </c>
      <c r="E17" s="13">
        <f t="shared" si="0"/>
        <v>331.85840707964604</v>
      </c>
      <c r="F17" s="13">
        <f t="shared" si="1"/>
        <v>4977.8761061946907</v>
      </c>
    </row>
    <row r="18" spans="1:6" ht="13.5" thickBot="1">
      <c r="A18" s="11"/>
      <c r="E18" s="13"/>
      <c r="F18" s="13"/>
    </row>
    <row r="19" spans="1:6" ht="13.5" thickBot="1">
      <c r="A19" s="11" t="s">
        <v>115</v>
      </c>
      <c r="E19" s="13"/>
      <c r="F19" s="17">
        <f>SUM(F9:F11)+F15+F17</f>
        <v>183097.34513274339</v>
      </c>
    </row>
    <row r="20" spans="1:6">
      <c r="E20" s="13">
        <f t="shared" si="0"/>
        <v>0</v>
      </c>
      <c r="F20" s="13">
        <f t="shared" si="1"/>
        <v>0</v>
      </c>
    </row>
    <row r="21" spans="1:6">
      <c r="A21" s="14" t="s">
        <v>110</v>
      </c>
      <c r="E21" s="13">
        <f t="shared" si="0"/>
        <v>0</v>
      </c>
      <c r="F21" s="13">
        <f t="shared" si="1"/>
        <v>0</v>
      </c>
    </row>
    <row r="22" spans="1:6">
      <c r="E22" s="13">
        <f t="shared" si="0"/>
        <v>0</v>
      </c>
      <c r="F22" s="13">
        <f t="shared" si="1"/>
        <v>0</v>
      </c>
    </row>
    <row r="23" spans="1:6">
      <c r="A23" s="11" t="s">
        <v>99</v>
      </c>
      <c r="C23">
        <v>65</v>
      </c>
      <c r="D23">
        <v>100</v>
      </c>
      <c r="E23" s="13">
        <f t="shared" si="0"/>
        <v>88.495575221238951</v>
      </c>
      <c r="F23" s="13">
        <f t="shared" si="1"/>
        <v>5752.2123893805319</v>
      </c>
    </row>
    <row r="24" spans="1:6">
      <c r="A24" s="11" t="s">
        <v>111</v>
      </c>
      <c r="C24">
        <v>12</v>
      </c>
      <c r="D24">
        <v>210</v>
      </c>
      <c r="E24" s="13">
        <f t="shared" si="0"/>
        <v>185.84070796460179</v>
      </c>
      <c r="F24" s="13">
        <f t="shared" si="1"/>
        <v>2230.0884955752217</v>
      </c>
    </row>
    <row r="25" spans="1:6">
      <c r="A25" s="11" t="s">
        <v>105</v>
      </c>
      <c r="C25">
        <v>1</v>
      </c>
      <c r="D25">
        <v>75</v>
      </c>
      <c r="E25" s="13">
        <f t="shared" si="0"/>
        <v>66.371681415929203</v>
      </c>
      <c r="F25" s="13">
        <f t="shared" si="1"/>
        <v>66.371681415929203</v>
      </c>
    </row>
    <row r="26" spans="1:6">
      <c r="A26" s="11" t="s">
        <v>103</v>
      </c>
      <c r="C26">
        <v>5</v>
      </c>
      <c r="D26">
        <v>50</v>
      </c>
      <c r="E26" s="13">
        <f t="shared" si="0"/>
        <v>44.247787610619476</v>
      </c>
      <c r="F26" s="13">
        <f t="shared" si="1"/>
        <v>221.23893805309737</v>
      </c>
    </row>
    <row r="27" spans="1:6">
      <c r="A27" s="11" t="s">
        <v>112</v>
      </c>
      <c r="C27">
        <v>6</v>
      </c>
      <c r="D27">
        <v>175</v>
      </c>
      <c r="E27" s="13">
        <f t="shared" si="0"/>
        <v>154.86725663716817</v>
      </c>
      <c r="F27" s="13">
        <f t="shared" si="1"/>
        <v>929.20353982300901</v>
      </c>
    </row>
    <row r="28" spans="1:6" ht="13.5" thickBot="1">
      <c r="A28" s="11" t="s">
        <v>106</v>
      </c>
      <c r="C28">
        <v>30</v>
      </c>
      <c r="D28">
        <v>75</v>
      </c>
      <c r="E28" s="13">
        <f t="shared" si="0"/>
        <v>66.371681415929203</v>
      </c>
      <c r="F28" s="13">
        <f t="shared" si="1"/>
        <v>1991.1504424778761</v>
      </c>
    </row>
    <row r="29" spans="1:6" ht="13.5" thickBot="1">
      <c r="A29" s="11" t="s">
        <v>113</v>
      </c>
      <c r="E29" s="13"/>
      <c r="F29" s="17">
        <f>SUM(F23:F28)</f>
        <v>11190.265486725664</v>
      </c>
    </row>
    <row r="30" spans="1:6" ht="15" customHeight="1">
      <c r="E30" s="13"/>
      <c r="F30" s="13"/>
    </row>
    <row r="31" spans="1:6" ht="15" customHeight="1">
      <c r="A31" s="11" t="s">
        <v>116</v>
      </c>
      <c r="E31" s="13"/>
      <c r="F31" s="13">
        <v>4000</v>
      </c>
    </row>
    <row r="32" spans="1:6" ht="15" customHeight="1">
      <c r="A32" s="11" t="s">
        <v>132</v>
      </c>
      <c r="E32" s="13"/>
      <c r="F32" s="13">
        <v>4700</v>
      </c>
    </row>
    <row r="33" spans="1:6" ht="15" customHeight="1">
      <c r="A33" s="11"/>
      <c r="E33" s="13"/>
      <c r="F33" s="13"/>
    </row>
    <row r="34" spans="1:6" ht="15" customHeight="1" thickBot="1">
      <c r="E34" s="13"/>
      <c r="F34" s="13"/>
    </row>
    <row r="35" spans="1:6" ht="13.5" thickBot="1">
      <c r="A35" s="11" t="s">
        <v>114</v>
      </c>
      <c r="E35" s="13"/>
      <c r="F35" s="18">
        <f>F19+F29+F31+F32</f>
        <v>202987.61061946905</v>
      </c>
    </row>
    <row r="36" spans="1:6" ht="13.5" thickTop="1">
      <c r="E36" s="13"/>
      <c r="F36" s="13"/>
    </row>
    <row r="37" spans="1:6">
      <c r="E37" s="13"/>
      <c r="F37" s="13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11" sqref="C11"/>
    </sheetView>
  </sheetViews>
  <sheetFormatPr defaultRowHeight="12.75"/>
  <sheetData>
    <row r="1" spans="1:6" ht="15">
      <c r="A1" s="9" t="s">
        <v>118</v>
      </c>
      <c r="B1" s="9"/>
      <c r="C1" s="9"/>
      <c r="D1" s="9"/>
      <c r="E1" s="9"/>
    </row>
    <row r="2" spans="1:6" ht="15">
      <c r="A2" s="9" t="s">
        <v>119</v>
      </c>
      <c r="B2" s="9"/>
      <c r="C2" s="9"/>
      <c r="D2" s="9"/>
      <c r="E2" s="9"/>
    </row>
    <row r="3" spans="1:6" ht="15">
      <c r="A3" s="9"/>
      <c r="B3" s="19"/>
      <c r="C3" s="19"/>
      <c r="D3" s="9"/>
      <c r="E3" s="9"/>
    </row>
    <row r="4" spans="1:6" ht="15">
      <c r="A4" s="9"/>
      <c r="B4" s="19"/>
      <c r="C4" s="19"/>
      <c r="D4" s="9"/>
      <c r="E4" s="9"/>
    </row>
    <row r="5" spans="1:6" ht="15">
      <c r="A5" s="9"/>
      <c r="B5" s="20" t="s">
        <v>130</v>
      </c>
      <c r="C5" s="20" t="s">
        <v>120</v>
      </c>
      <c r="D5" s="20" t="s">
        <v>121</v>
      </c>
      <c r="E5" s="20" t="s">
        <v>101</v>
      </c>
      <c r="F5" s="20" t="s">
        <v>0</v>
      </c>
    </row>
    <row r="6" spans="1:6" ht="15">
      <c r="A6" s="9"/>
      <c r="B6" s="9"/>
      <c r="C6" s="9"/>
      <c r="D6" s="9"/>
      <c r="E6" s="9"/>
      <c r="F6" s="20" t="s">
        <v>122</v>
      </c>
    </row>
    <row r="7" spans="1:6">
      <c r="A7" s="19" t="s">
        <v>123</v>
      </c>
      <c r="B7" s="13">
        <v>340</v>
      </c>
      <c r="C7">
        <v>0</v>
      </c>
      <c r="D7">
        <f>+B7-C7</f>
        <v>340</v>
      </c>
      <c r="E7">
        <v>10</v>
      </c>
      <c r="F7" s="13">
        <f>+E7*D7</f>
        <v>3400</v>
      </c>
    </row>
    <row r="8" spans="1:6">
      <c r="A8" s="19" t="s">
        <v>124</v>
      </c>
      <c r="D8">
        <f>+B8-C8</f>
        <v>0</v>
      </c>
      <c r="F8" s="13">
        <f>+E8*D8</f>
        <v>0</v>
      </c>
    </row>
    <row r="9" spans="1:6">
      <c r="A9" s="19" t="s">
        <v>125</v>
      </c>
      <c r="B9" s="13">
        <v>8</v>
      </c>
      <c r="C9">
        <v>0</v>
      </c>
      <c r="D9">
        <f>+B9-C9</f>
        <v>8</v>
      </c>
      <c r="E9">
        <v>3</v>
      </c>
      <c r="F9" s="13">
        <f>+E9*D9</f>
        <v>24</v>
      </c>
    </row>
    <row r="10" spans="1:6">
      <c r="A10" s="19" t="s">
        <v>126</v>
      </c>
      <c r="B10" s="13">
        <v>20</v>
      </c>
      <c r="C10">
        <v>0</v>
      </c>
      <c r="D10">
        <f>+B10-C10</f>
        <v>20</v>
      </c>
      <c r="E10">
        <v>3</v>
      </c>
      <c r="F10" s="13">
        <f>+E10*D10</f>
        <v>60</v>
      </c>
    </row>
    <row r="11" spans="1:6">
      <c r="F11" s="15">
        <f>SUM(F7:F10)</f>
        <v>3484</v>
      </c>
    </row>
    <row r="13" spans="1:6">
      <c r="A13" t="s">
        <v>127</v>
      </c>
    </row>
    <row r="15" spans="1:6" ht="15">
      <c r="B15" s="20" t="s">
        <v>104</v>
      </c>
      <c r="C15" s="20" t="s">
        <v>101</v>
      </c>
      <c r="D15" s="20" t="s">
        <v>101</v>
      </c>
      <c r="E15" s="20" t="s">
        <v>128</v>
      </c>
    </row>
    <row r="16" spans="1:6" ht="15">
      <c r="B16" s="21" t="s">
        <v>102</v>
      </c>
      <c r="C16" s="21" t="s">
        <v>129</v>
      </c>
      <c r="D16" s="21" t="s">
        <v>102</v>
      </c>
    </row>
    <row r="17" spans="1:5">
      <c r="A17" t="s">
        <v>99</v>
      </c>
      <c r="B17" s="13">
        <v>157678</v>
      </c>
      <c r="C17">
        <v>535</v>
      </c>
      <c r="D17" s="13">
        <f>+C17/1.13</f>
        <v>473.45132743362836</v>
      </c>
      <c r="E17" s="13">
        <f>+B17/D17</f>
        <v>333.03951401869153</v>
      </c>
    </row>
    <row r="18" spans="1:5">
      <c r="A18" t="s">
        <v>103</v>
      </c>
      <c r="B18" s="13">
        <v>8242</v>
      </c>
      <c r="C18">
        <v>250</v>
      </c>
      <c r="D18" s="13">
        <f>+C18/1.13</f>
        <v>221.23893805309737</v>
      </c>
      <c r="E18" s="13">
        <f>+B18/D18</f>
        <v>37.253839999999997</v>
      </c>
    </row>
    <row r="19" spans="1:5">
      <c r="A19" t="s">
        <v>105</v>
      </c>
      <c r="B19" s="13">
        <v>3018</v>
      </c>
      <c r="C19">
        <v>375</v>
      </c>
      <c r="D19" s="13">
        <f>+C19/1.13</f>
        <v>331.85840707964604</v>
      </c>
      <c r="E19" s="13">
        <f>+B19/D19</f>
        <v>9.0942399999999992</v>
      </c>
    </row>
    <row r="20" spans="1:5">
      <c r="B20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6"/>
  <sheetViews>
    <sheetView topLeftCell="A16" workbookViewId="0">
      <selection activeCell="M41" sqref="M41"/>
    </sheetView>
  </sheetViews>
  <sheetFormatPr defaultRowHeight="12.75"/>
  <cols>
    <col min="1" max="1" width="37.85546875" customWidth="1"/>
    <col min="2" max="2" width="9.42578125" customWidth="1"/>
    <col min="3" max="3" width="7.7109375" customWidth="1"/>
    <col min="4" max="4" width="12" customWidth="1"/>
    <col min="5" max="5" width="11.140625" customWidth="1"/>
    <col min="6" max="6" width="18" customWidth="1"/>
    <col min="7" max="7" width="50.7109375" customWidth="1"/>
    <col min="8" max="8" width="7.7109375" customWidth="1"/>
    <col min="9" max="9" width="8.5703125" customWidth="1"/>
    <col min="10" max="10" width="7.7109375" customWidth="1"/>
  </cols>
  <sheetData>
    <row r="1" spans="1:10" ht="18">
      <c r="A1" s="54" t="s">
        <v>118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8">
      <c r="A2" s="54" t="s">
        <v>136</v>
      </c>
      <c r="B2" s="55"/>
      <c r="C2" s="55"/>
      <c r="D2" s="55"/>
      <c r="E2" s="55"/>
      <c r="F2" s="55"/>
      <c r="G2" s="55"/>
      <c r="H2" s="55"/>
      <c r="I2" s="55"/>
      <c r="J2" s="55"/>
    </row>
    <row r="3" spans="1:10">
      <c r="A3" s="56" t="s">
        <v>137</v>
      </c>
      <c r="B3" s="55"/>
      <c r="C3" s="55"/>
      <c r="D3" s="55"/>
      <c r="E3" s="55"/>
      <c r="F3" s="55"/>
      <c r="G3" s="55"/>
      <c r="H3" s="55"/>
      <c r="I3" s="55"/>
      <c r="J3" s="55"/>
    </row>
    <row r="5" spans="1:10" ht="36">
      <c r="B5" s="2" t="s">
        <v>138</v>
      </c>
      <c r="C5" s="2" t="s">
        <v>139</v>
      </c>
      <c r="D5" s="2" t="s">
        <v>140</v>
      </c>
      <c r="E5" s="2" t="s">
        <v>141</v>
      </c>
      <c r="F5" s="2" t="s">
        <v>142</v>
      </c>
      <c r="G5" s="2" t="s">
        <v>143</v>
      </c>
      <c r="H5" s="2" t="s">
        <v>144</v>
      </c>
      <c r="I5" s="2" t="s">
        <v>145</v>
      </c>
      <c r="J5" s="2" t="s">
        <v>146</v>
      </c>
    </row>
    <row r="6" spans="1:10">
      <c r="A6" s="3" t="s">
        <v>147</v>
      </c>
    </row>
    <row r="7" spans="1:10">
      <c r="A7" s="3" t="s">
        <v>148</v>
      </c>
    </row>
    <row r="8" spans="1:10">
      <c r="B8" s="27" t="s">
        <v>149</v>
      </c>
      <c r="C8" s="27" t="s">
        <v>150</v>
      </c>
      <c r="D8" s="27"/>
      <c r="E8" s="27" t="s">
        <v>151</v>
      </c>
      <c r="F8" s="27"/>
      <c r="G8" s="27" t="s">
        <v>152</v>
      </c>
      <c r="H8" s="27"/>
      <c r="I8" s="5">
        <v>48.98</v>
      </c>
      <c r="J8" s="5">
        <v>48.98</v>
      </c>
    </row>
    <row r="9" spans="1:10">
      <c r="B9" s="27" t="s">
        <v>153</v>
      </c>
      <c r="C9" s="27" t="s">
        <v>150</v>
      </c>
      <c r="D9" s="27" t="s">
        <v>154</v>
      </c>
      <c r="E9" s="27" t="s">
        <v>151</v>
      </c>
      <c r="F9" s="27"/>
      <c r="G9" s="27" t="s">
        <v>152</v>
      </c>
      <c r="H9" s="27"/>
      <c r="I9" s="5">
        <v>70</v>
      </c>
      <c r="J9" s="5">
        <v>118.98</v>
      </c>
    </row>
    <row r="10" spans="1:10">
      <c r="A10" s="3" t="s">
        <v>155</v>
      </c>
      <c r="I10" s="6">
        <v>118.98</v>
      </c>
    </row>
    <row r="11" spans="1:10">
      <c r="A11" s="3" t="s">
        <v>156</v>
      </c>
      <c r="I11" s="6">
        <v>118.98</v>
      </c>
    </row>
    <row r="12" spans="1:10">
      <c r="A12" s="3" t="s">
        <v>157</v>
      </c>
      <c r="I12" s="6">
        <v>118.98</v>
      </c>
    </row>
    <row r="15" spans="1:10">
      <c r="A15" s="57" t="s">
        <v>158</v>
      </c>
      <c r="B15" s="55"/>
      <c r="C15" s="55"/>
      <c r="D15" s="55"/>
      <c r="E15" s="55"/>
      <c r="F15" s="55"/>
      <c r="G15" s="55"/>
      <c r="H15" s="55"/>
      <c r="I15" s="55"/>
      <c r="J15" s="55"/>
    </row>
    <row r="18" spans="1:10" ht="36">
      <c r="B18" s="2" t="s">
        <v>138</v>
      </c>
      <c r="C18" s="2" t="s">
        <v>139</v>
      </c>
      <c r="D18" s="2" t="s">
        <v>140</v>
      </c>
      <c r="E18" s="2" t="s">
        <v>141</v>
      </c>
      <c r="F18" s="2" t="s">
        <v>142</v>
      </c>
      <c r="G18" s="2" t="s">
        <v>143</v>
      </c>
      <c r="H18" s="2" t="s">
        <v>144</v>
      </c>
      <c r="I18" s="2" t="s">
        <v>145</v>
      </c>
      <c r="J18" s="2" t="s">
        <v>146</v>
      </c>
    </row>
    <row r="19" spans="1:10">
      <c r="A19" s="3" t="s">
        <v>147</v>
      </c>
    </row>
    <row r="20" spans="1:10">
      <c r="A20" s="3" t="s">
        <v>159</v>
      </c>
    </row>
    <row r="21" spans="1:10" ht="22.5">
      <c r="B21" s="27" t="s">
        <v>160</v>
      </c>
      <c r="C21" s="27" t="s">
        <v>161</v>
      </c>
      <c r="D21" s="27">
        <v>2145</v>
      </c>
      <c r="E21" s="27" t="s">
        <v>162</v>
      </c>
      <c r="F21" s="27"/>
      <c r="G21" s="27" t="s">
        <v>163</v>
      </c>
      <c r="H21" s="27"/>
      <c r="I21" s="5">
        <v>546.44000000000005</v>
      </c>
      <c r="J21" s="5">
        <f>+I21</f>
        <v>546.44000000000005</v>
      </c>
    </row>
    <row r="22" spans="1:10" ht="22.5">
      <c r="B22" s="27" t="s">
        <v>164</v>
      </c>
      <c r="C22" s="27" t="s">
        <v>161</v>
      </c>
      <c r="D22" s="27">
        <v>2169</v>
      </c>
      <c r="E22" s="27" t="s">
        <v>162</v>
      </c>
      <c r="F22" s="27"/>
      <c r="G22" s="27" t="s">
        <v>163</v>
      </c>
      <c r="H22" s="27"/>
      <c r="I22" s="5">
        <v>569.98</v>
      </c>
      <c r="J22" s="5">
        <f>+J21+I22</f>
        <v>1116.42</v>
      </c>
    </row>
    <row r="23" spans="1:10" ht="22.5">
      <c r="B23" s="27" t="s">
        <v>165</v>
      </c>
      <c r="C23" s="27" t="s">
        <v>161</v>
      </c>
      <c r="D23" s="27">
        <v>2183</v>
      </c>
      <c r="E23" s="27" t="s">
        <v>162</v>
      </c>
      <c r="F23" s="27"/>
      <c r="G23" s="27" t="s">
        <v>163</v>
      </c>
      <c r="H23" s="27"/>
      <c r="I23" s="5">
        <v>1080.1500000000001</v>
      </c>
      <c r="J23" s="5">
        <f t="shared" ref="J23:J30" si="0">+J22+I23</f>
        <v>2196.5700000000002</v>
      </c>
    </row>
    <row r="24" spans="1:10" ht="22.5">
      <c r="B24" s="27" t="s">
        <v>166</v>
      </c>
      <c r="C24" s="27" t="s">
        <v>150</v>
      </c>
      <c r="D24" s="27" t="s">
        <v>167</v>
      </c>
      <c r="E24" s="27" t="s">
        <v>162</v>
      </c>
      <c r="F24" s="27"/>
      <c r="G24" s="27" t="s">
        <v>163</v>
      </c>
      <c r="H24" s="27"/>
      <c r="I24" s="5">
        <v>574.9</v>
      </c>
      <c r="J24" s="5">
        <f t="shared" si="0"/>
        <v>2771.4700000000003</v>
      </c>
    </row>
    <row r="25" spans="1:10" ht="22.5">
      <c r="B25" s="27" t="s">
        <v>168</v>
      </c>
      <c r="C25" s="27" t="s">
        <v>150</v>
      </c>
      <c r="D25" s="27" t="s">
        <v>169</v>
      </c>
      <c r="E25" s="27" t="s">
        <v>162</v>
      </c>
      <c r="F25" s="27"/>
      <c r="G25" s="27" t="s">
        <v>163</v>
      </c>
      <c r="H25" s="27"/>
      <c r="I25" s="5">
        <v>495</v>
      </c>
      <c r="J25" s="5">
        <f t="shared" si="0"/>
        <v>3266.4700000000003</v>
      </c>
    </row>
    <row r="26" spans="1:10" ht="22.5">
      <c r="B26" s="27" t="s">
        <v>149</v>
      </c>
      <c r="C26" s="27" t="s">
        <v>150</v>
      </c>
      <c r="D26" s="27" t="s">
        <v>170</v>
      </c>
      <c r="E26" s="27" t="s">
        <v>162</v>
      </c>
      <c r="F26" s="27"/>
      <c r="G26" s="27" t="s">
        <v>163</v>
      </c>
      <c r="H26" s="27"/>
      <c r="I26" s="5">
        <v>4.57</v>
      </c>
      <c r="J26" s="5">
        <f t="shared" si="0"/>
        <v>3271.0400000000004</v>
      </c>
    </row>
    <row r="27" spans="1:10" ht="22.5">
      <c r="B27" s="27" t="s">
        <v>149</v>
      </c>
      <c r="C27" s="27" t="s">
        <v>150</v>
      </c>
      <c r="D27" s="27" t="s">
        <v>170</v>
      </c>
      <c r="E27" s="27" t="s">
        <v>162</v>
      </c>
      <c r="F27" s="27"/>
      <c r="G27" s="27" t="s">
        <v>163</v>
      </c>
      <c r="H27" s="27"/>
      <c r="I27" s="5">
        <v>440</v>
      </c>
      <c r="J27" s="5">
        <f t="shared" si="0"/>
        <v>3711.0400000000004</v>
      </c>
    </row>
    <row r="28" spans="1:10" ht="22.5">
      <c r="B28" s="27" t="s">
        <v>149</v>
      </c>
      <c r="C28" s="27" t="s">
        <v>150</v>
      </c>
      <c r="D28" s="27" t="s">
        <v>170</v>
      </c>
      <c r="E28" s="27" t="s">
        <v>162</v>
      </c>
      <c r="F28" s="27"/>
      <c r="G28" s="27" t="s">
        <v>163</v>
      </c>
      <c r="H28" s="27"/>
      <c r="I28" s="5">
        <v>9.84</v>
      </c>
      <c r="J28" s="5">
        <f t="shared" si="0"/>
        <v>3720.8800000000006</v>
      </c>
    </row>
    <row r="29" spans="1:10" ht="22.5">
      <c r="B29" s="27" t="s">
        <v>171</v>
      </c>
      <c r="C29" s="27" t="s">
        <v>172</v>
      </c>
      <c r="D29" s="27">
        <v>1127</v>
      </c>
      <c r="E29" s="27"/>
      <c r="F29" s="27" t="s">
        <v>173</v>
      </c>
      <c r="G29" s="27" t="s">
        <v>163</v>
      </c>
      <c r="H29" s="27"/>
      <c r="I29" s="5">
        <v>-4.57</v>
      </c>
      <c r="J29" s="5">
        <f t="shared" si="0"/>
        <v>3716.3100000000004</v>
      </c>
    </row>
    <row r="30" spans="1:10" ht="22.5">
      <c r="B30" s="27" t="s">
        <v>153</v>
      </c>
      <c r="C30" s="27" t="s">
        <v>150</v>
      </c>
      <c r="D30" s="27" t="s">
        <v>154</v>
      </c>
      <c r="E30" s="27" t="s">
        <v>151</v>
      </c>
      <c r="F30" s="27" t="s">
        <v>174</v>
      </c>
      <c r="G30" s="27" t="s">
        <v>163</v>
      </c>
      <c r="H30" s="27"/>
      <c r="I30" s="5">
        <v>92.85</v>
      </c>
      <c r="J30" s="5">
        <f t="shared" si="0"/>
        <v>3809.1600000000003</v>
      </c>
    </row>
    <row r="31" spans="1:10">
      <c r="B31" s="27"/>
      <c r="C31" s="27"/>
      <c r="D31" s="27"/>
      <c r="E31" s="27" t="s">
        <v>215</v>
      </c>
      <c r="F31" s="27" t="s">
        <v>216</v>
      </c>
      <c r="G31" s="27"/>
      <c r="H31" s="27"/>
      <c r="I31" s="5">
        <v>72</v>
      </c>
      <c r="J31" s="5"/>
    </row>
    <row r="32" spans="1:10" ht="22.5">
      <c r="A32" s="3" t="s">
        <v>175</v>
      </c>
      <c r="I32" s="6">
        <f>SUM(I21:I31)</f>
        <v>3881.1600000000003</v>
      </c>
    </row>
    <row r="33" spans="1:10">
      <c r="A33" s="3" t="s">
        <v>156</v>
      </c>
      <c r="I33" s="6"/>
    </row>
    <row r="34" spans="1:10">
      <c r="A34" s="3" t="s">
        <v>157</v>
      </c>
      <c r="I34" s="6"/>
    </row>
    <row r="37" spans="1:10">
      <c r="A37" s="57" t="s">
        <v>176</v>
      </c>
      <c r="B37" s="55"/>
      <c r="C37" s="55"/>
      <c r="D37" s="55"/>
      <c r="E37" s="55"/>
      <c r="F37" s="55"/>
      <c r="G37" s="55"/>
      <c r="H37" s="55"/>
      <c r="I37" s="55"/>
      <c r="J37" s="55"/>
    </row>
    <row r="41" spans="1:10" ht="36">
      <c r="B41" s="2" t="s">
        <v>138</v>
      </c>
      <c r="C41" s="2" t="s">
        <v>139</v>
      </c>
      <c r="D41" s="2" t="s">
        <v>140</v>
      </c>
      <c r="E41" s="2" t="s">
        <v>141</v>
      </c>
      <c r="F41" s="2" t="s">
        <v>142</v>
      </c>
      <c r="G41" s="2" t="s">
        <v>143</v>
      </c>
      <c r="H41" s="2" t="s">
        <v>144</v>
      </c>
      <c r="I41" s="2" t="s">
        <v>145</v>
      </c>
      <c r="J41" s="2" t="s">
        <v>146</v>
      </c>
    </row>
    <row r="42" spans="1:10">
      <c r="A42" s="3" t="s">
        <v>147</v>
      </c>
    </row>
    <row r="43" spans="1:10">
      <c r="A43" s="3" t="s">
        <v>177</v>
      </c>
    </row>
    <row r="44" spans="1:10">
      <c r="B44" s="27" t="s">
        <v>178</v>
      </c>
      <c r="C44" s="27" t="s">
        <v>150</v>
      </c>
      <c r="D44" s="27" t="s">
        <v>179</v>
      </c>
      <c r="E44" s="27" t="s">
        <v>162</v>
      </c>
      <c r="F44" s="27"/>
      <c r="G44" s="27" t="s">
        <v>180</v>
      </c>
      <c r="H44" s="27"/>
      <c r="I44" s="5">
        <v>35.700000000000003</v>
      </c>
      <c r="J44" s="5">
        <v>35.700000000000003</v>
      </c>
    </row>
    <row r="45" spans="1:10">
      <c r="B45" s="27" t="s">
        <v>181</v>
      </c>
      <c r="C45" s="27" t="s">
        <v>150</v>
      </c>
      <c r="D45" s="27" t="s">
        <v>182</v>
      </c>
      <c r="E45" s="27" t="s">
        <v>151</v>
      </c>
      <c r="F45" s="27"/>
      <c r="G45" s="27" t="s">
        <v>180</v>
      </c>
      <c r="H45" s="27"/>
      <c r="I45" s="5">
        <v>694.34</v>
      </c>
      <c r="J45" s="5">
        <v>730.04</v>
      </c>
    </row>
    <row r="46" spans="1:10">
      <c r="A46" s="3" t="s">
        <v>183</v>
      </c>
      <c r="I46" s="6">
        <v>730.04</v>
      </c>
    </row>
    <row r="47" spans="1:10">
      <c r="A47" s="3" t="s">
        <v>156</v>
      </c>
      <c r="I47" s="6">
        <v>730.04</v>
      </c>
    </row>
    <row r="48" spans="1:10">
      <c r="A48" s="3" t="s">
        <v>157</v>
      </c>
      <c r="I48" s="6">
        <v>730.04</v>
      </c>
    </row>
    <row r="51" spans="1:10">
      <c r="A51" s="57" t="s">
        <v>184</v>
      </c>
      <c r="B51" s="55"/>
      <c r="C51" s="55"/>
      <c r="D51" s="55"/>
      <c r="E51" s="55"/>
      <c r="F51" s="55"/>
      <c r="G51" s="55"/>
      <c r="H51" s="55"/>
      <c r="I51" s="55"/>
      <c r="J51" s="55"/>
    </row>
    <row r="54" spans="1:10" ht="36">
      <c r="B54" s="2" t="s">
        <v>138</v>
      </c>
      <c r="C54" s="2" t="s">
        <v>139</v>
      </c>
      <c r="D54" s="2" t="s">
        <v>140</v>
      </c>
      <c r="E54" s="2" t="s">
        <v>141</v>
      </c>
      <c r="F54" s="2" t="s">
        <v>142</v>
      </c>
      <c r="G54" s="2" t="s">
        <v>143</v>
      </c>
      <c r="H54" s="2" t="s">
        <v>144</v>
      </c>
      <c r="I54" s="2" t="s">
        <v>145</v>
      </c>
      <c r="J54" s="2" t="s">
        <v>146</v>
      </c>
    </row>
    <row r="55" spans="1:10">
      <c r="A55" s="3" t="s">
        <v>147</v>
      </c>
    </row>
    <row r="56" spans="1:10">
      <c r="A56" s="3" t="s">
        <v>185</v>
      </c>
    </row>
    <row r="57" spans="1:10" ht="22.5">
      <c r="B57" s="27" t="s">
        <v>186</v>
      </c>
      <c r="C57" s="27" t="s">
        <v>161</v>
      </c>
      <c r="D57" s="27">
        <v>2108</v>
      </c>
      <c r="E57" s="27" t="s">
        <v>151</v>
      </c>
      <c r="F57" s="27"/>
      <c r="G57" s="27" t="s">
        <v>187</v>
      </c>
      <c r="H57" s="27"/>
      <c r="I57" s="5">
        <v>856.32</v>
      </c>
      <c r="J57" s="5">
        <v>856.32</v>
      </c>
    </row>
    <row r="58" spans="1:10" ht="22.5">
      <c r="B58" s="27" t="s">
        <v>188</v>
      </c>
      <c r="C58" s="27" t="s">
        <v>161</v>
      </c>
      <c r="D58" s="27">
        <v>2122</v>
      </c>
      <c r="E58" s="27" t="s">
        <v>189</v>
      </c>
      <c r="F58" s="27"/>
      <c r="G58" s="27" t="s">
        <v>187</v>
      </c>
      <c r="H58" s="27"/>
      <c r="I58" s="5">
        <v>383.67</v>
      </c>
      <c r="J58" s="5">
        <v>1239.99</v>
      </c>
    </row>
    <row r="59" spans="1:10" ht="22.5">
      <c r="B59" s="27" t="s">
        <v>190</v>
      </c>
      <c r="C59" s="27" t="s">
        <v>161</v>
      </c>
      <c r="D59" s="27">
        <v>2135</v>
      </c>
      <c r="E59" s="27" t="s">
        <v>191</v>
      </c>
      <c r="F59" s="27"/>
      <c r="G59" s="27" t="s">
        <v>187</v>
      </c>
      <c r="H59" s="27"/>
      <c r="I59" s="5">
        <v>400</v>
      </c>
      <c r="J59" s="5">
        <v>1639.99</v>
      </c>
    </row>
    <row r="60" spans="1:10" ht="22.5">
      <c r="B60" s="27" t="s">
        <v>190</v>
      </c>
      <c r="C60" s="27" t="s">
        <v>161</v>
      </c>
      <c r="D60" s="27">
        <v>2126</v>
      </c>
      <c r="E60" s="27" t="s">
        <v>191</v>
      </c>
      <c r="F60" s="27"/>
      <c r="G60" s="27" t="s">
        <v>187</v>
      </c>
      <c r="H60" s="27"/>
      <c r="I60" s="5">
        <v>400</v>
      </c>
      <c r="J60" s="5">
        <v>2039.99</v>
      </c>
    </row>
    <row r="61" spans="1:10" ht="22.5">
      <c r="B61" s="27" t="s">
        <v>190</v>
      </c>
      <c r="C61" s="27" t="s">
        <v>161</v>
      </c>
      <c r="D61" s="27">
        <v>2130</v>
      </c>
      <c r="E61" s="27" t="s">
        <v>151</v>
      </c>
      <c r="F61" s="27"/>
      <c r="G61" s="27" t="s">
        <v>187</v>
      </c>
      <c r="H61" s="27"/>
      <c r="I61" s="5">
        <v>571.61</v>
      </c>
      <c r="J61" s="5">
        <v>2611.6</v>
      </c>
    </row>
    <row r="62" spans="1:10" ht="22.5">
      <c r="B62" s="27" t="s">
        <v>192</v>
      </c>
      <c r="C62" s="27" t="s">
        <v>161</v>
      </c>
      <c r="D62" s="27">
        <v>2138</v>
      </c>
      <c r="E62" s="27" t="s">
        <v>193</v>
      </c>
      <c r="F62" s="27"/>
      <c r="G62" s="27" t="s">
        <v>187</v>
      </c>
      <c r="H62" s="27"/>
      <c r="I62" s="5">
        <v>0</v>
      </c>
      <c r="J62" s="5">
        <v>2611.6</v>
      </c>
    </row>
    <row r="63" spans="1:10" ht="22.5">
      <c r="B63" s="27" t="s">
        <v>192</v>
      </c>
      <c r="C63" s="27" t="s">
        <v>161</v>
      </c>
      <c r="D63" s="27">
        <v>2142</v>
      </c>
      <c r="E63" s="27" t="s">
        <v>194</v>
      </c>
      <c r="F63" s="27"/>
      <c r="G63" s="27" t="s">
        <v>187</v>
      </c>
      <c r="H63" s="27"/>
      <c r="I63" s="5">
        <v>39.53</v>
      </c>
      <c r="J63" s="5">
        <v>2651.13</v>
      </c>
    </row>
    <row r="64" spans="1:10" ht="22.5">
      <c r="B64" s="27" t="s">
        <v>195</v>
      </c>
      <c r="C64" s="27" t="s">
        <v>161</v>
      </c>
      <c r="D64" s="27">
        <v>2151</v>
      </c>
      <c r="E64" s="27" t="s">
        <v>151</v>
      </c>
      <c r="F64" s="27"/>
      <c r="G64" s="27" t="s">
        <v>187</v>
      </c>
      <c r="H64" s="27"/>
      <c r="I64" s="5">
        <v>433.32</v>
      </c>
      <c r="J64" s="5">
        <v>3084.45</v>
      </c>
    </row>
    <row r="65" spans="1:10" ht="22.5">
      <c r="B65" s="27" t="s">
        <v>195</v>
      </c>
      <c r="C65" s="27" t="s">
        <v>161</v>
      </c>
      <c r="D65" s="27">
        <v>2153</v>
      </c>
      <c r="E65" s="27" t="s">
        <v>191</v>
      </c>
      <c r="F65" s="27"/>
      <c r="G65" s="27" t="s">
        <v>187</v>
      </c>
      <c r="H65" s="27"/>
      <c r="I65" s="5">
        <v>400</v>
      </c>
      <c r="J65" s="5">
        <v>3484.45</v>
      </c>
    </row>
    <row r="66" spans="1:10" ht="22.5">
      <c r="B66" s="27" t="s">
        <v>196</v>
      </c>
      <c r="C66" s="27" t="s">
        <v>161</v>
      </c>
      <c r="D66" s="27">
        <v>2175</v>
      </c>
      <c r="E66" s="27" t="s">
        <v>191</v>
      </c>
      <c r="F66" s="27"/>
      <c r="G66" s="27" t="s">
        <v>187</v>
      </c>
      <c r="H66" s="27"/>
      <c r="I66" s="5">
        <v>400</v>
      </c>
      <c r="J66" s="5">
        <v>3884.45</v>
      </c>
    </row>
    <row r="67" spans="1:10" ht="22.5">
      <c r="B67" s="27" t="s">
        <v>197</v>
      </c>
      <c r="C67" s="27" t="s">
        <v>150</v>
      </c>
      <c r="D67" s="27" t="s">
        <v>198</v>
      </c>
      <c r="E67" s="27" t="s">
        <v>191</v>
      </c>
      <c r="F67" s="27" t="s">
        <v>199</v>
      </c>
      <c r="G67" s="27" t="s">
        <v>187</v>
      </c>
      <c r="H67" s="27"/>
      <c r="I67" s="5">
        <v>400</v>
      </c>
      <c r="J67" s="5">
        <v>4284.45</v>
      </c>
    </row>
    <row r="68" spans="1:10" ht="22.5">
      <c r="B68" s="27" t="s">
        <v>200</v>
      </c>
      <c r="C68" s="27" t="s">
        <v>201</v>
      </c>
      <c r="D68" s="27" t="s">
        <v>202</v>
      </c>
      <c r="E68" s="27" t="s">
        <v>191</v>
      </c>
      <c r="F68" s="27"/>
      <c r="G68" s="27" t="s">
        <v>187</v>
      </c>
      <c r="H68" s="27"/>
      <c r="I68" s="5">
        <v>-142.84</v>
      </c>
      <c r="J68" s="5">
        <v>4141.6099999999997</v>
      </c>
    </row>
    <row r="69" spans="1:10" ht="22.5">
      <c r="B69" s="27" t="s">
        <v>203</v>
      </c>
      <c r="C69" s="27" t="s">
        <v>161</v>
      </c>
      <c r="D69" s="27">
        <v>2196</v>
      </c>
      <c r="E69" s="27" t="s">
        <v>151</v>
      </c>
      <c r="F69" s="27"/>
      <c r="G69" s="27" t="s">
        <v>187</v>
      </c>
      <c r="H69" s="27"/>
      <c r="I69" s="5">
        <v>313.36</v>
      </c>
      <c r="J69" s="5">
        <v>4454.97</v>
      </c>
    </row>
    <row r="70" spans="1:10">
      <c r="B70" s="27" t="s">
        <v>168</v>
      </c>
      <c r="C70" s="27" t="s">
        <v>150</v>
      </c>
      <c r="D70" s="27" t="s">
        <v>204</v>
      </c>
      <c r="E70" s="27" t="s">
        <v>151</v>
      </c>
      <c r="F70" s="27"/>
      <c r="G70" s="27" t="s">
        <v>187</v>
      </c>
      <c r="H70" s="27"/>
      <c r="I70" s="5">
        <v>577.29</v>
      </c>
      <c r="J70" s="5">
        <v>5032.26</v>
      </c>
    </row>
    <row r="71" spans="1:10">
      <c r="A71" s="3" t="s">
        <v>205</v>
      </c>
      <c r="I71" s="6">
        <v>5032.26</v>
      </c>
    </row>
    <row r="72" spans="1:10">
      <c r="A72" s="3" t="s">
        <v>156</v>
      </c>
      <c r="I72" s="6">
        <v>5032.26</v>
      </c>
    </row>
    <row r="73" spans="1:10">
      <c r="A73" s="3" t="s">
        <v>157</v>
      </c>
      <c r="I73" s="6">
        <v>5032.26</v>
      </c>
    </row>
    <row r="76" spans="1:10" ht="36">
      <c r="B76" s="2" t="s">
        <v>138</v>
      </c>
      <c r="C76" s="2" t="s">
        <v>139</v>
      </c>
      <c r="D76" s="2" t="s">
        <v>140</v>
      </c>
      <c r="E76" s="2" t="s">
        <v>141</v>
      </c>
      <c r="F76" s="2" t="s">
        <v>142</v>
      </c>
      <c r="G76" s="2" t="s">
        <v>143</v>
      </c>
      <c r="H76" s="2" t="s">
        <v>144</v>
      </c>
      <c r="I76" s="2" t="s">
        <v>145</v>
      </c>
      <c r="J76" s="2" t="s">
        <v>146</v>
      </c>
    </row>
    <row r="77" spans="1:10">
      <c r="A77" s="3" t="s">
        <v>147</v>
      </c>
    </row>
    <row r="78" spans="1:10">
      <c r="A78" s="3" t="s">
        <v>206</v>
      </c>
    </row>
    <row r="79" spans="1:10" ht="22.5">
      <c r="B79" s="27" t="s">
        <v>207</v>
      </c>
      <c r="C79" s="27" t="s">
        <v>150</v>
      </c>
      <c r="D79" s="27" t="s">
        <v>208</v>
      </c>
      <c r="E79" s="27" t="s">
        <v>209</v>
      </c>
      <c r="F79" s="27" t="s">
        <v>210</v>
      </c>
      <c r="G79" s="27" t="s">
        <v>211</v>
      </c>
      <c r="H79" s="27"/>
      <c r="I79" s="5">
        <v>751.5</v>
      </c>
      <c r="J79" s="5">
        <v>751.5</v>
      </c>
    </row>
    <row r="80" spans="1:10">
      <c r="B80" s="27" t="s">
        <v>153</v>
      </c>
      <c r="C80" s="27" t="s">
        <v>150</v>
      </c>
      <c r="D80" s="27" t="s">
        <v>154</v>
      </c>
      <c r="E80" s="27" t="s">
        <v>151</v>
      </c>
      <c r="F80" s="27" t="s">
        <v>212</v>
      </c>
      <c r="G80" s="27" t="s">
        <v>211</v>
      </c>
      <c r="H80" s="27"/>
      <c r="I80" s="5">
        <v>140</v>
      </c>
      <c r="J80" s="5">
        <v>891.5</v>
      </c>
    </row>
    <row r="81" spans="1:10">
      <c r="A81" s="3" t="s">
        <v>213</v>
      </c>
      <c r="I81" s="6">
        <v>891.5</v>
      </c>
    </row>
    <row r="82" spans="1:10">
      <c r="A82" s="3" t="s">
        <v>156</v>
      </c>
      <c r="I82" s="6">
        <v>891.5</v>
      </c>
    </row>
    <row r="83" spans="1:10">
      <c r="A83" s="3" t="s">
        <v>157</v>
      </c>
      <c r="I83" s="6">
        <v>891.5</v>
      </c>
    </row>
    <row r="86" spans="1:10">
      <c r="A86" s="57" t="s">
        <v>214</v>
      </c>
      <c r="B86" s="55"/>
      <c r="C86" s="55"/>
      <c r="D86" s="55"/>
      <c r="E86" s="55"/>
      <c r="F86" s="55"/>
      <c r="G86" s="55"/>
      <c r="H86" s="55"/>
      <c r="I86" s="55"/>
      <c r="J86" s="55"/>
    </row>
  </sheetData>
  <mergeCells count="7">
    <mergeCell ref="A86:J86"/>
    <mergeCell ref="A1:J1"/>
    <mergeCell ref="A2:J2"/>
    <mergeCell ref="A3:J3"/>
    <mergeCell ref="A15:J15"/>
    <mergeCell ref="A37:J37"/>
    <mergeCell ref="A51:J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5"/>
  <sheetViews>
    <sheetView workbookViewId="0">
      <selection activeCell="A4" sqref="A4:Q18"/>
    </sheetView>
  </sheetViews>
  <sheetFormatPr defaultRowHeight="12.75"/>
  <cols>
    <col min="1" max="1" width="27.140625" customWidth="1"/>
    <col min="3" max="3" width="22.42578125" customWidth="1"/>
    <col min="4" max="4" width="19.140625" customWidth="1"/>
    <col min="18" max="18" width="11" customWidth="1"/>
  </cols>
  <sheetData>
    <row r="1" spans="1:18">
      <c r="A1" s="14" t="s">
        <v>223</v>
      </c>
      <c r="B1" s="14"/>
    </row>
    <row r="2" spans="1:18">
      <c r="A2" s="14" t="s">
        <v>254</v>
      </c>
      <c r="B2" s="14"/>
    </row>
    <row r="3" spans="1:18">
      <c r="A3" s="14"/>
      <c r="B3" s="14"/>
    </row>
    <row r="4" spans="1:18">
      <c r="E4" s="8">
        <v>42644</v>
      </c>
      <c r="F4" s="8">
        <v>42675</v>
      </c>
      <c r="G4" s="8">
        <v>42705</v>
      </c>
      <c r="H4" s="8">
        <v>42736</v>
      </c>
      <c r="I4" s="8">
        <v>42767</v>
      </c>
      <c r="J4" s="8">
        <v>42795</v>
      </c>
      <c r="K4" s="8">
        <v>42826</v>
      </c>
      <c r="L4" s="8">
        <v>42856</v>
      </c>
      <c r="M4" s="8">
        <v>42887</v>
      </c>
      <c r="N4" s="8">
        <v>42917</v>
      </c>
      <c r="O4" s="8">
        <v>42948</v>
      </c>
      <c r="P4" s="8">
        <v>42979</v>
      </c>
      <c r="Q4" s="2" t="s">
        <v>0</v>
      </c>
      <c r="R4" s="14" t="s">
        <v>131</v>
      </c>
    </row>
    <row r="5" spans="1:18">
      <c r="R5" s="34"/>
    </row>
    <row r="6" spans="1:18">
      <c r="A6" s="11" t="s">
        <v>256</v>
      </c>
      <c r="B6" t="s">
        <v>224</v>
      </c>
      <c r="D6" t="s">
        <v>106</v>
      </c>
      <c r="E6" s="34">
        <f>175*4</f>
        <v>700</v>
      </c>
      <c r="F6" s="34">
        <f>175*4</f>
        <v>700</v>
      </c>
      <c r="G6" s="34">
        <f>175*2</f>
        <v>350</v>
      </c>
      <c r="H6" s="34"/>
      <c r="I6" s="34"/>
      <c r="J6" s="34"/>
      <c r="K6" s="34"/>
      <c r="L6" s="34"/>
      <c r="M6" s="34"/>
      <c r="N6" s="34"/>
      <c r="O6" s="34"/>
      <c r="P6" s="34"/>
      <c r="Q6" s="34">
        <f>SUM(E6:P6)</f>
        <v>1750</v>
      </c>
      <c r="R6" s="34"/>
    </row>
    <row r="7" spans="1:18">
      <c r="A7" s="11" t="s">
        <v>256</v>
      </c>
      <c r="B7" t="s">
        <v>225</v>
      </c>
      <c r="D7" t="s">
        <v>106</v>
      </c>
      <c r="E7" s="34"/>
      <c r="F7" s="34"/>
      <c r="G7" s="34"/>
      <c r="H7" s="34">
        <v>700</v>
      </c>
      <c r="I7" s="34">
        <v>700</v>
      </c>
      <c r="J7" s="34">
        <v>350</v>
      </c>
      <c r="K7" s="34"/>
      <c r="L7" s="34"/>
      <c r="M7" s="34"/>
      <c r="N7" s="34"/>
      <c r="O7" s="34"/>
      <c r="P7" s="34"/>
      <c r="Q7" s="34">
        <f t="shared" ref="Q7:Q15" si="0">SUM(E7:P7)</f>
        <v>1750</v>
      </c>
      <c r="R7" s="34"/>
    </row>
    <row r="8" spans="1:18">
      <c r="A8" s="11"/>
      <c r="E8" s="35">
        <f>+E6+E7</f>
        <v>700</v>
      </c>
      <c r="F8" s="35">
        <f t="shared" ref="F8:Q8" si="1">+F6+F7</f>
        <v>700</v>
      </c>
      <c r="G8" s="35">
        <f t="shared" si="1"/>
        <v>350</v>
      </c>
      <c r="H8" s="35">
        <f t="shared" si="1"/>
        <v>700</v>
      </c>
      <c r="I8" s="35">
        <f t="shared" si="1"/>
        <v>700</v>
      </c>
      <c r="J8" s="35">
        <f t="shared" si="1"/>
        <v>350</v>
      </c>
      <c r="K8" s="35">
        <f t="shared" si="1"/>
        <v>0</v>
      </c>
      <c r="L8" s="35">
        <f t="shared" si="1"/>
        <v>0</v>
      </c>
      <c r="M8" s="35">
        <f t="shared" si="1"/>
        <v>0</v>
      </c>
      <c r="N8" s="35">
        <f t="shared" si="1"/>
        <v>0</v>
      </c>
      <c r="O8" s="35">
        <f t="shared" si="1"/>
        <v>0</v>
      </c>
      <c r="P8" s="35">
        <f t="shared" si="1"/>
        <v>0</v>
      </c>
      <c r="Q8" s="35">
        <f t="shared" si="1"/>
        <v>3500</v>
      </c>
      <c r="R8" s="34">
        <f>$Q$25</f>
        <v>3000</v>
      </c>
    </row>
    <row r="9" spans="1:18">
      <c r="A9" s="11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>
      <c r="A10" t="s">
        <v>226</v>
      </c>
      <c r="B10" t="s">
        <v>227</v>
      </c>
      <c r="D10" t="s">
        <v>106</v>
      </c>
      <c r="E10" s="34">
        <f>110*4</f>
        <v>440</v>
      </c>
      <c r="F10" s="34">
        <f>110*4</f>
        <v>440</v>
      </c>
      <c r="G10" s="34">
        <f>110*2</f>
        <v>220</v>
      </c>
      <c r="H10" s="34"/>
      <c r="I10" s="34"/>
      <c r="J10" s="34"/>
      <c r="K10" s="34"/>
      <c r="L10" s="34"/>
      <c r="M10" s="34"/>
      <c r="N10" s="34"/>
      <c r="O10" s="34"/>
      <c r="P10" s="34"/>
      <c r="Q10" s="34">
        <f t="shared" si="0"/>
        <v>1100</v>
      </c>
      <c r="R10" s="34"/>
    </row>
    <row r="11" spans="1:18">
      <c r="A11" t="s">
        <v>226</v>
      </c>
      <c r="B11" t="s">
        <v>225</v>
      </c>
      <c r="D11" t="s">
        <v>106</v>
      </c>
      <c r="E11" s="34"/>
      <c r="F11" s="34"/>
      <c r="G11" s="34"/>
      <c r="H11" s="34">
        <f>110*4</f>
        <v>440</v>
      </c>
      <c r="I11" s="34">
        <f>110*4</f>
        <v>440</v>
      </c>
      <c r="J11" s="34">
        <f>110*2</f>
        <v>220</v>
      </c>
      <c r="K11" s="34"/>
      <c r="L11" s="34"/>
      <c r="M11" s="34"/>
      <c r="N11" s="34"/>
      <c r="O11" s="34"/>
      <c r="P11" s="34"/>
      <c r="Q11" s="34">
        <f t="shared" si="0"/>
        <v>1100</v>
      </c>
      <c r="R11" s="34"/>
    </row>
    <row r="12" spans="1:18">
      <c r="E12" s="35">
        <f t="shared" ref="E12:Q12" si="2">+E10+E11</f>
        <v>440</v>
      </c>
      <c r="F12" s="35">
        <f t="shared" si="2"/>
        <v>440</v>
      </c>
      <c r="G12" s="35">
        <f t="shared" si="2"/>
        <v>220</v>
      </c>
      <c r="H12" s="35">
        <f t="shared" si="2"/>
        <v>440</v>
      </c>
      <c r="I12" s="35">
        <f t="shared" si="2"/>
        <v>440</v>
      </c>
      <c r="J12" s="35">
        <f t="shared" si="2"/>
        <v>220</v>
      </c>
      <c r="K12" s="35">
        <f t="shared" si="2"/>
        <v>0</v>
      </c>
      <c r="L12" s="35">
        <f t="shared" si="2"/>
        <v>0</v>
      </c>
      <c r="M12" s="35">
        <f t="shared" si="2"/>
        <v>0</v>
      </c>
      <c r="N12" s="35">
        <f t="shared" si="2"/>
        <v>0</v>
      </c>
      <c r="O12" s="35">
        <f t="shared" si="2"/>
        <v>0</v>
      </c>
      <c r="P12" s="35">
        <f t="shared" si="2"/>
        <v>0</v>
      </c>
      <c r="Q12" s="35">
        <f t="shared" si="2"/>
        <v>2200</v>
      </c>
      <c r="R12" s="36">
        <f>SUM(Q27:Q30)</f>
        <v>1500</v>
      </c>
    </row>
    <row r="13" spans="1:18"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>
      <c r="A14" t="s">
        <v>228</v>
      </c>
      <c r="B14" t="s">
        <v>229</v>
      </c>
      <c r="D14" t="s">
        <v>230</v>
      </c>
      <c r="E14" s="34">
        <f>105*4</f>
        <v>420</v>
      </c>
      <c r="F14" s="34">
        <f>105*4</f>
        <v>420</v>
      </c>
      <c r="G14" s="34">
        <f>105*4</f>
        <v>420</v>
      </c>
      <c r="H14" s="34">
        <f>105*4</f>
        <v>420</v>
      </c>
      <c r="I14" s="34">
        <v>420</v>
      </c>
      <c r="J14" s="34"/>
      <c r="K14" s="34"/>
      <c r="L14" s="34"/>
      <c r="M14" s="34"/>
      <c r="N14" s="34"/>
      <c r="O14" s="34"/>
      <c r="P14" s="34"/>
      <c r="Q14" s="34">
        <f t="shared" si="0"/>
        <v>2100</v>
      </c>
      <c r="R14" s="34"/>
    </row>
    <row r="15" spans="1:18">
      <c r="A15" t="s">
        <v>228</v>
      </c>
      <c r="B15" t="s">
        <v>231</v>
      </c>
      <c r="D15" t="s">
        <v>230</v>
      </c>
      <c r="E15" s="34"/>
      <c r="F15" s="34"/>
      <c r="G15" s="34"/>
      <c r="H15" s="34"/>
      <c r="I15" s="34"/>
      <c r="J15" s="34"/>
      <c r="K15" s="34"/>
      <c r="L15" s="34">
        <f>105*4</f>
        <v>420</v>
      </c>
      <c r="M15" s="34">
        <f>105*4</f>
        <v>420</v>
      </c>
      <c r="N15" s="34">
        <f>105*4</f>
        <v>420</v>
      </c>
      <c r="O15" s="34">
        <f>105*4</f>
        <v>420</v>
      </c>
      <c r="P15" s="34">
        <v>105</v>
      </c>
      <c r="Q15" s="34">
        <f t="shared" si="0"/>
        <v>1785</v>
      </c>
      <c r="R15" s="34"/>
    </row>
    <row r="16" spans="1:18">
      <c r="E16" s="35">
        <f t="shared" ref="E16:Q16" si="3">+E14+E15</f>
        <v>420</v>
      </c>
      <c r="F16" s="35">
        <f t="shared" si="3"/>
        <v>420</v>
      </c>
      <c r="G16" s="35">
        <f t="shared" si="3"/>
        <v>420</v>
      </c>
      <c r="H16" s="35">
        <f t="shared" si="3"/>
        <v>420</v>
      </c>
      <c r="I16" s="35">
        <f t="shared" si="3"/>
        <v>420</v>
      </c>
      <c r="J16" s="35">
        <f t="shared" si="3"/>
        <v>0</v>
      </c>
      <c r="K16" s="35">
        <f t="shared" si="3"/>
        <v>0</v>
      </c>
      <c r="L16" s="35">
        <f t="shared" si="3"/>
        <v>420</v>
      </c>
      <c r="M16" s="35">
        <f t="shared" si="3"/>
        <v>420</v>
      </c>
      <c r="N16" s="35">
        <f t="shared" si="3"/>
        <v>420</v>
      </c>
      <c r="O16" s="35">
        <f t="shared" si="3"/>
        <v>420</v>
      </c>
      <c r="P16" s="35">
        <f t="shared" si="3"/>
        <v>105</v>
      </c>
      <c r="Q16" s="35">
        <f t="shared" si="3"/>
        <v>3885</v>
      </c>
      <c r="R16" s="34">
        <f>$Q$26</f>
        <v>4860</v>
      </c>
    </row>
    <row r="17" spans="1:18"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>
      <c r="E18" s="35">
        <f>E8+E12+E16</f>
        <v>1560</v>
      </c>
      <c r="F18" s="35">
        <f t="shared" ref="F18:R18" si="4">F8+F12+F16</f>
        <v>1560</v>
      </c>
      <c r="G18" s="35">
        <f t="shared" si="4"/>
        <v>990</v>
      </c>
      <c r="H18" s="35">
        <f t="shared" si="4"/>
        <v>1560</v>
      </c>
      <c r="I18" s="35">
        <f t="shared" si="4"/>
        <v>1560</v>
      </c>
      <c r="J18" s="35">
        <f t="shared" si="4"/>
        <v>570</v>
      </c>
      <c r="K18" s="35">
        <f t="shared" si="4"/>
        <v>0</v>
      </c>
      <c r="L18" s="35">
        <f t="shared" si="4"/>
        <v>420</v>
      </c>
      <c r="M18" s="35">
        <f t="shared" si="4"/>
        <v>420</v>
      </c>
      <c r="N18" s="35">
        <f t="shared" si="4"/>
        <v>420</v>
      </c>
      <c r="O18" s="35">
        <f t="shared" si="4"/>
        <v>420</v>
      </c>
      <c r="P18" s="35">
        <f t="shared" si="4"/>
        <v>105</v>
      </c>
      <c r="Q18" s="35">
        <f t="shared" si="4"/>
        <v>9585</v>
      </c>
      <c r="R18" s="35">
        <f t="shared" si="4"/>
        <v>9360</v>
      </c>
    </row>
    <row r="19" spans="1:18"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1" spans="1:18">
      <c r="A21" s="14" t="s">
        <v>131</v>
      </c>
    </row>
    <row r="23" spans="1:18">
      <c r="E23" s="8">
        <v>42278</v>
      </c>
      <c r="F23" s="8">
        <v>42309</v>
      </c>
      <c r="G23" s="8">
        <v>42339</v>
      </c>
      <c r="H23" s="8">
        <v>42370</v>
      </c>
      <c r="I23" s="8">
        <v>42401</v>
      </c>
      <c r="J23" s="8">
        <v>42430</v>
      </c>
      <c r="K23" s="8">
        <v>42461</v>
      </c>
      <c r="L23" s="8">
        <v>42491</v>
      </c>
      <c r="M23" s="8">
        <v>42522</v>
      </c>
      <c r="N23" s="8">
        <v>42552</v>
      </c>
      <c r="O23" s="8">
        <v>42583</v>
      </c>
      <c r="P23" s="8">
        <v>42614</v>
      </c>
      <c r="Q23" s="2" t="s">
        <v>0</v>
      </c>
    </row>
    <row r="25" spans="1:18">
      <c r="A25" s="11" t="s">
        <v>256</v>
      </c>
      <c r="B25" t="s">
        <v>224</v>
      </c>
      <c r="D25" t="s">
        <v>106</v>
      </c>
      <c r="F25">
        <v>750</v>
      </c>
      <c r="G25">
        <v>750</v>
      </c>
      <c r="I25">
        <v>750</v>
      </c>
      <c r="J25">
        <v>750</v>
      </c>
      <c r="Q25">
        <f t="shared" ref="Q25:Q30" si="5">SUM(E25:P25)</f>
        <v>3000</v>
      </c>
    </row>
    <row r="26" spans="1:18">
      <c r="A26" t="s">
        <v>228</v>
      </c>
      <c r="B26" t="s">
        <v>229</v>
      </c>
      <c r="D26" t="s">
        <v>230</v>
      </c>
      <c r="E26">
        <v>570</v>
      </c>
      <c r="H26">
        <v>720</v>
      </c>
      <c r="I26">
        <v>720</v>
      </c>
      <c r="K26">
        <v>810</v>
      </c>
      <c r="M26">
        <v>1155</v>
      </c>
      <c r="P26">
        <v>885</v>
      </c>
      <c r="Q26">
        <f t="shared" si="5"/>
        <v>4860</v>
      </c>
    </row>
    <row r="27" spans="1:18">
      <c r="A27" s="11" t="s">
        <v>237</v>
      </c>
      <c r="E27">
        <v>60</v>
      </c>
      <c r="P27">
        <v>80</v>
      </c>
      <c r="Q27">
        <f t="shared" si="5"/>
        <v>140</v>
      </c>
    </row>
    <row r="28" spans="1:18">
      <c r="A28" s="11" t="s">
        <v>240</v>
      </c>
      <c r="F28">
        <v>150</v>
      </c>
      <c r="G28">
        <v>120</v>
      </c>
      <c r="I28">
        <v>90</v>
      </c>
      <c r="J28">
        <v>120</v>
      </c>
      <c r="Q28">
        <f t="shared" si="5"/>
        <v>480</v>
      </c>
    </row>
    <row r="29" spans="1:18">
      <c r="A29" s="11" t="s">
        <v>255</v>
      </c>
      <c r="F29">
        <v>200</v>
      </c>
      <c r="G29">
        <v>200</v>
      </c>
      <c r="I29">
        <v>200</v>
      </c>
      <c r="J29">
        <v>200</v>
      </c>
      <c r="Q29">
        <f t="shared" si="5"/>
        <v>800</v>
      </c>
    </row>
    <row r="30" spans="1:18">
      <c r="A30" s="11" t="s">
        <v>257</v>
      </c>
      <c r="M30">
        <v>80</v>
      </c>
      <c r="Q30">
        <f t="shared" si="5"/>
        <v>80</v>
      </c>
    </row>
    <row r="31" spans="1:18">
      <c r="E31" s="28">
        <f>SUM(E25:E30)</f>
        <v>630</v>
      </c>
      <c r="F31" s="28">
        <f t="shared" ref="F31:Q31" si="6">SUM(F25:F30)</f>
        <v>1100</v>
      </c>
      <c r="G31" s="28">
        <f t="shared" si="6"/>
        <v>1070</v>
      </c>
      <c r="H31" s="28">
        <f t="shared" si="6"/>
        <v>720</v>
      </c>
      <c r="I31" s="28">
        <f t="shared" si="6"/>
        <v>1760</v>
      </c>
      <c r="J31" s="28">
        <f t="shared" si="6"/>
        <v>1070</v>
      </c>
      <c r="K31" s="28">
        <f t="shared" si="6"/>
        <v>810</v>
      </c>
      <c r="L31" s="28">
        <f t="shared" si="6"/>
        <v>0</v>
      </c>
      <c r="M31" s="28">
        <f t="shared" si="6"/>
        <v>1235</v>
      </c>
      <c r="N31" s="28">
        <f t="shared" si="6"/>
        <v>0</v>
      </c>
      <c r="O31" s="28">
        <f t="shared" si="6"/>
        <v>0</v>
      </c>
      <c r="P31" s="28">
        <f t="shared" si="6"/>
        <v>965</v>
      </c>
      <c r="Q31" s="28">
        <f t="shared" si="6"/>
        <v>9360</v>
      </c>
    </row>
    <row r="35" spans="1:10" ht="18">
      <c r="A35" s="58" t="s">
        <v>118</v>
      </c>
      <c r="B35" s="55"/>
      <c r="C35" s="55"/>
      <c r="D35" s="55"/>
      <c r="E35" s="55"/>
      <c r="F35" s="55"/>
      <c r="G35" s="55"/>
      <c r="H35" s="55"/>
      <c r="I35" s="55"/>
      <c r="J35" s="55"/>
    </row>
    <row r="36" spans="1:10" ht="18">
      <c r="A36" s="58" t="s">
        <v>136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0">
      <c r="A37" s="59" t="s">
        <v>137</v>
      </c>
      <c r="B37" s="55"/>
      <c r="C37" s="55"/>
      <c r="D37" s="55"/>
      <c r="E37" s="55"/>
      <c r="F37" s="55"/>
      <c r="G37" s="55"/>
      <c r="H37" s="55"/>
      <c r="I37" s="55"/>
      <c r="J37" s="55"/>
    </row>
    <row r="39" spans="1:10" ht="24">
      <c r="B39" s="29" t="s">
        <v>138</v>
      </c>
      <c r="C39" s="29" t="s">
        <v>139</v>
      </c>
      <c r="D39" s="29" t="s">
        <v>140</v>
      </c>
      <c r="E39" s="29" t="s">
        <v>141</v>
      </c>
      <c r="F39" s="29" t="s">
        <v>142</v>
      </c>
      <c r="G39" s="29" t="s">
        <v>143</v>
      </c>
      <c r="H39" s="29" t="s">
        <v>144</v>
      </c>
      <c r="I39" s="29" t="s">
        <v>145</v>
      </c>
      <c r="J39" s="29" t="s">
        <v>146</v>
      </c>
    </row>
    <row r="40" spans="1:10">
      <c r="A40" s="30" t="s">
        <v>232</v>
      </c>
    </row>
    <row r="41" spans="1:10">
      <c r="A41" s="30" t="s">
        <v>233</v>
      </c>
    </row>
    <row r="42" spans="1:10" ht="78.75">
      <c r="B42" s="31" t="s">
        <v>234</v>
      </c>
      <c r="C42" s="31" t="s">
        <v>161</v>
      </c>
      <c r="D42" s="31">
        <v>2111</v>
      </c>
      <c r="E42" s="31" t="s">
        <v>235</v>
      </c>
      <c r="F42" s="31"/>
      <c r="G42" s="31" t="s">
        <v>236</v>
      </c>
      <c r="H42" s="31"/>
      <c r="I42" s="32">
        <v>570</v>
      </c>
      <c r="J42" s="32">
        <v>570</v>
      </c>
    </row>
    <row r="43" spans="1:10" ht="78.75">
      <c r="B43" s="31" t="s">
        <v>234</v>
      </c>
      <c r="C43" s="31" t="s">
        <v>161</v>
      </c>
      <c r="D43" s="31">
        <v>2112</v>
      </c>
      <c r="E43" s="31" t="s">
        <v>237</v>
      </c>
      <c r="F43" s="31"/>
      <c r="G43" s="31" t="s">
        <v>236</v>
      </c>
      <c r="H43" s="31"/>
      <c r="I43" s="32">
        <v>60</v>
      </c>
      <c r="J43" s="32">
        <v>630</v>
      </c>
    </row>
    <row r="44" spans="1:10" ht="78.75">
      <c r="B44" s="31" t="s">
        <v>238</v>
      </c>
      <c r="C44" s="31" t="s">
        <v>161</v>
      </c>
      <c r="D44" s="31">
        <v>2127</v>
      </c>
      <c r="E44" s="31" t="s">
        <v>239</v>
      </c>
      <c r="F44" s="31"/>
      <c r="G44" s="31" t="s">
        <v>236</v>
      </c>
      <c r="H44" s="31"/>
      <c r="I44" s="32">
        <v>750</v>
      </c>
      <c r="J44" s="32">
        <v>1380</v>
      </c>
    </row>
    <row r="45" spans="1:10" ht="78.75">
      <c r="B45" s="31" t="s">
        <v>238</v>
      </c>
      <c r="C45" s="31" t="s">
        <v>161</v>
      </c>
      <c r="D45" s="31">
        <v>2128</v>
      </c>
      <c r="E45" s="31" t="s">
        <v>240</v>
      </c>
      <c r="F45" s="31"/>
      <c r="G45" s="31" t="s">
        <v>236</v>
      </c>
      <c r="H45" s="31"/>
      <c r="I45" s="32">
        <v>150</v>
      </c>
      <c r="J45" s="32">
        <v>1530</v>
      </c>
    </row>
    <row r="46" spans="1:10" ht="78.75">
      <c r="B46" s="31" t="s">
        <v>238</v>
      </c>
      <c r="C46" s="31" t="s">
        <v>161</v>
      </c>
      <c r="D46" s="31">
        <v>2129</v>
      </c>
      <c r="E46" s="31" t="s">
        <v>241</v>
      </c>
      <c r="F46" s="31"/>
      <c r="G46" s="31" t="s">
        <v>236</v>
      </c>
      <c r="H46" s="31"/>
      <c r="I46" s="32">
        <v>200</v>
      </c>
      <c r="J46" s="32">
        <v>1730</v>
      </c>
    </row>
    <row r="47" spans="1:10" ht="78.75">
      <c r="B47" s="31" t="s">
        <v>195</v>
      </c>
      <c r="C47" s="31" t="s">
        <v>161</v>
      </c>
      <c r="D47" s="31">
        <v>2149</v>
      </c>
      <c r="E47" s="31" t="s">
        <v>241</v>
      </c>
      <c r="F47" s="31"/>
      <c r="G47" s="31" t="s">
        <v>236</v>
      </c>
      <c r="H47" s="31"/>
      <c r="I47" s="32">
        <v>200</v>
      </c>
      <c r="J47" s="32">
        <v>1930</v>
      </c>
    </row>
    <row r="48" spans="1:10" ht="78.75">
      <c r="B48" s="31" t="s">
        <v>195</v>
      </c>
      <c r="C48" s="31" t="s">
        <v>161</v>
      </c>
      <c r="D48" s="31">
        <v>2148</v>
      </c>
      <c r="E48" s="31" t="s">
        <v>240</v>
      </c>
      <c r="F48" s="31"/>
      <c r="G48" s="31" t="s">
        <v>236</v>
      </c>
      <c r="H48" s="31"/>
      <c r="I48" s="32">
        <v>120</v>
      </c>
      <c r="J48" s="32">
        <v>2050</v>
      </c>
    </row>
    <row r="49" spans="1:10" ht="78.75">
      <c r="B49" s="31" t="s">
        <v>195</v>
      </c>
      <c r="C49" s="31" t="s">
        <v>161</v>
      </c>
      <c r="D49" s="31">
        <v>2147</v>
      </c>
      <c r="E49" s="31" t="s">
        <v>239</v>
      </c>
      <c r="F49" s="31"/>
      <c r="G49" s="31" t="s">
        <v>236</v>
      </c>
      <c r="H49" s="31"/>
      <c r="I49" s="32">
        <v>750</v>
      </c>
      <c r="J49" s="32">
        <v>2800</v>
      </c>
    </row>
    <row r="50" spans="1:10" ht="78.75">
      <c r="B50" s="31" t="s">
        <v>196</v>
      </c>
      <c r="C50" s="31" t="s">
        <v>161</v>
      </c>
      <c r="D50" s="31">
        <v>2173</v>
      </c>
      <c r="E50" s="31" t="s">
        <v>235</v>
      </c>
      <c r="F50" s="31"/>
      <c r="G50" s="31" t="s">
        <v>236</v>
      </c>
      <c r="H50" s="31"/>
      <c r="I50" s="32">
        <v>720</v>
      </c>
      <c r="J50" s="32">
        <v>3520</v>
      </c>
    </row>
    <row r="51" spans="1:10" ht="78.75">
      <c r="B51" s="31" t="s">
        <v>165</v>
      </c>
      <c r="C51" s="31" t="s">
        <v>161</v>
      </c>
      <c r="D51" s="31">
        <v>2187</v>
      </c>
      <c r="E51" s="31" t="s">
        <v>239</v>
      </c>
      <c r="F51" s="31"/>
      <c r="G51" s="31" t="s">
        <v>236</v>
      </c>
      <c r="H51" s="31"/>
      <c r="I51" s="32">
        <v>750</v>
      </c>
      <c r="J51" s="32">
        <v>4270</v>
      </c>
    </row>
    <row r="52" spans="1:10" ht="78.75">
      <c r="B52" s="31" t="s">
        <v>165</v>
      </c>
      <c r="C52" s="31" t="s">
        <v>161</v>
      </c>
      <c r="D52" s="31">
        <v>2188</v>
      </c>
      <c r="E52" s="31" t="s">
        <v>241</v>
      </c>
      <c r="F52" s="31"/>
      <c r="G52" s="31" t="s">
        <v>236</v>
      </c>
      <c r="H52" s="31"/>
      <c r="I52" s="32">
        <v>200</v>
      </c>
      <c r="J52" s="32">
        <v>4470</v>
      </c>
    </row>
    <row r="53" spans="1:10" ht="78.75">
      <c r="B53" s="31" t="s">
        <v>165</v>
      </c>
      <c r="C53" s="31" t="s">
        <v>161</v>
      </c>
      <c r="D53" s="31">
        <v>2189</v>
      </c>
      <c r="E53" s="31" t="s">
        <v>240</v>
      </c>
      <c r="F53" s="31"/>
      <c r="G53" s="31" t="s">
        <v>236</v>
      </c>
      <c r="H53" s="31"/>
      <c r="I53" s="32">
        <v>90</v>
      </c>
      <c r="J53" s="32">
        <v>4560</v>
      </c>
    </row>
    <row r="54" spans="1:10" ht="78.75">
      <c r="B54" s="31" t="s">
        <v>242</v>
      </c>
      <c r="C54" s="31" t="s">
        <v>161</v>
      </c>
      <c r="D54" s="31">
        <v>2193</v>
      </c>
      <c r="E54" s="31" t="s">
        <v>235</v>
      </c>
      <c r="F54" s="31"/>
      <c r="G54" s="31" t="s">
        <v>236</v>
      </c>
      <c r="H54" s="31"/>
      <c r="I54" s="32">
        <v>720</v>
      </c>
      <c r="J54" s="32">
        <v>5280</v>
      </c>
    </row>
    <row r="55" spans="1:10" ht="78.75">
      <c r="B55" s="31" t="s">
        <v>243</v>
      </c>
      <c r="C55" s="31" t="s">
        <v>150</v>
      </c>
      <c r="D55" s="31" t="s">
        <v>244</v>
      </c>
      <c r="E55" s="31" t="s">
        <v>241</v>
      </c>
      <c r="F55" s="31" t="s">
        <v>106</v>
      </c>
      <c r="G55" s="31" t="s">
        <v>236</v>
      </c>
      <c r="H55" s="31"/>
      <c r="I55" s="32">
        <v>200</v>
      </c>
      <c r="J55" s="32">
        <v>5480</v>
      </c>
    </row>
    <row r="56" spans="1:10" ht="78.75">
      <c r="B56" s="31" t="s">
        <v>243</v>
      </c>
      <c r="C56" s="31" t="s">
        <v>150</v>
      </c>
      <c r="D56" s="31" t="s">
        <v>244</v>
      </c>
      <c r="E56" s="31" t="s">
        <v>239</v>
      </c>
      <c r="F56" s="31" t="s">
        <v>106</v>
      </c>
      <c r="G56" s="31" t="s">
        <v>236</v>
      </c>
      <c r="H56" s="31"/>
      <c r="I56" s="32">
        <v>750</v>
      </c>
      <c r="J56" s="32">
        <v>6230</v>
      </c>
    </row>
    <row r="57" spans="1:10" ht="78.75">
      <c r="B57" s="31" t="s">
        <v>243</v>
      </c>
      <c r="C57" s="31" t="s">
        <v>150</v>
      </c>
      <c r="D57" s="31" t="s">
        <v>244</v>
      </c>
      <c r="E57" s="31" t="s">
        <v>240</v>
      </c>
      <c r="F57" s="31"/>
      <c r="G57" s="31" t="s">
        <v>236</v>
      </c>
      <c r="H57" s="31"/>
      <c r="I57" s="32">
        <v>120</v>
      </c>
      <c r="J57" s="32">
        <v>6350</v>
      </c>
    </row>
    <row r="58" spans="1:10" ht="78.75">
      <c r="B58" s="31" t="s">
        <v>149</v>
      </c>
      <c r="C58" s="31" t="s">
        <v>150</v>
      </c>
      <c r="D58" s="31" t="s">
        <v>245</v>
      </c>
      <c r="E58" s="31" t="s">
        <v>235</v>
      </c>
      <c r="F58" s="31" t="s">
        <v>246</v>
      </c>
      <c r="G58" s="31" t="s">
        <v>236</v>
      </c>
      <c r="H58" s="31"/>
      <c r="I58" s="32">
        <v>810</v>
      </c>
      <c r="J58" s="32">
        <v>7160</v>
      </c>
    </row>
    <row r="59" spans="1:10" ht="78.75">
      <c r="B59" s="31" t="s">
        <v>171</v>
      </c>
      <c r="C59" s="31" t="s">
        <v>150</v>
      </c>
      <c r="D59" s="31" t="s">
        <v>247</v>
      </c>
      <c r="E59" s="31" t="s">
        <v>248</v>
      </c>
      <c r="F59" s="31"/>
      <c r="G59" s="31" t="s">
        <v>236</v>
      </c>
      <c r="H59" s="31"/>
      <c r="I59" s="32">
        <v>80</v>
      </c>
      <c r="J59" s="32">
        <v>7240</v>
      </c>
    </row>
    <row r="60" spans="1:10" ht="78.75">
      <c r="B60" s="31" t="s">
        <v>171</v>
      </c>
      <c r="C60" s="31" t="s">
        <v>150</v>
      </c>
      <c r="D60" s="31" t="s">
        <v>247</v>
      </c>
      <c r="E60" s="31" t="s">
        <v>235</v>
      </c>
      <c r="F60" s="31" t="s">
        <v>249</v>
      </c>
      <c r="G60" s="31" t="s">
        <v>236</v>
      </c>
      <c r="H60" s="31"/>
      <c r="I60" s="32">
        <v>1155</v>
      </c>
      <c r="J60" s="32">
        <v>8395</v>
      </c>
    </row>
    <row r="61" spans="1:10" ht="78.75">
      <c r="B61" s="31" t="s">
        <v>153</v>
      </c>
      <c r="C61" s="31" t="s">
        <v>150</v>
      </c>
      <c r="D61" s="31"/>
      <c r="E61" s="31" t="s">
        <v>235</v>
      </c>
      <c r="F61" s="31" t="s">
        <v>250</v>
      </c>
      <c r="G61" s="31" t="s">
        <v>236</v>
      </c>
      <c r="H61" s="31"/>
      <c r="I61" s="32">
        <v>885</v>
      </c>
      <c r="J61" s="32">
        <v>9280</v>
      </c>
    </row>
    <row r="62" spans="1:10" ht="78.75">
      <c r="B62" s="31" t="s">
        <v>153</v>
      </c>
      <c r="C62" s="31" t="s">
        <v>150</v>
      </c>
      <c r="D62" s="31"/>
      <c r="E62" s="31" t="s">
        <v>237</v>
      </c>
      <c r="F62" s="31" t="s">
        <v>251</v>
      </c>
      <c r="G62" s="31" t="s">
        <v>236</v>
      </c>
      <c r="H62" s="31"/>
      <c r="I62" s="32">
        <v>80</v>
      </c>
      <c r="J62" s="32">
        <v>9360</v>
      </c>
    </row>
    <row r="63" spans="1:10" ht="22.5">
      <c r="A63" s="30" t="s">
        <v>252</v>
      </c>
      <c r="I63" s="33">
        <v>9360</v>
      </c>
    </row>
    <row r="64" spans="1:10" ht="22.5">
      <c r="A64" s="30" t="s">
        <v>253</v>
      </c>
      <c r="I64" s="33">
        <v>9360</v>
      </c>
    </row>
    <row r="65" spans="1:9">
      <c r="A65" s="30" t="s">
        <v>157</v>
      </c>
      <c r="I65" s="33">
        <v>9360</v>
      </c>
    </row>
  </sheetData>
  <mergeCells count="3">
    <mergeCell ref="A35:J35"/>
    <mergeCell ref="A36:J36"/>
    <mergeCell ref="A37:J37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4"/>
  <sheetViews>
    <sheetView workbookViewId="0">
      <selection activeCell="A8" sqref="A8"/>
    </sheetView>
  </sheetViews>
  <sheetFormatPr defaultRowHeight="12.75"/>
  <cols>
    <col min="1" max="1" width="28.28515625" customWidth="1"/>
    <col min="16" max="16" width="12.140625" customWidth="1"/>
  </cols>
  <sheetData>
    <row r="1" spans="1:17" ht="15.75">
      <c r="A1" s="45" t="s">
        <v>258</v>
      </c>
      <c r="B1" s="45"/>
      <c r="C1" s="14"/>
      <c r="D1" s="14"/>
    </row>
    <row r="2" spans="1:17" ht="15.75">
      <c r="A2" s="45" t="s">
        <v>264</v>
      </c>
      <c r="B2" s="45"/>
      <c r="C2" s="14"/>
      <c r="D2" s="44" t="s">
        <v>131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15.75">
      <c r="A3" s="45"/>
      <c r="B3" s="45"/>
      <c r="D3" s="8">
        <v>42278</v>
      </c>
      <c r="E3" s="8">
        <v>42309</v>
      </c>
      <c r="F3" s="8">
        <v>42339</v>
      </c>
      <c r="G3" s="8">
        <v>42370</v>
      </c>
      <c r="H3" s="8">
        <v>42401</v>
      </c>
      <c r="I3" s="8">
        <v>42430</v>
      </c>
      <c r="J3" s="8">
        <v>42461</v>
      </c>
      <c r="K3" s="8">
        <v>42491</v>
      </c>
      <c r="L3" s="8">
        <v>42522</v>
      </c>
      <c r="M3" s="8">
        <v>42552</v>
      </c>
      <c r="N3" s="8">
        <v>42583</v>
      </c>
      <c r="O3" s="8">
        <v>42614</v>
      </c>
      <c r="P3" s="2" t="s">
        <v>0</v>
      </c>
    </row>
    <row r="4" spans="1:17"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7">
      <c r="A5" s="11" t="s">
        <v>260</v>
      </c>
      <c r="D5" s="41">
        <v>400</v>
      </c>
      <c r="E5" s="41">
        <v>480</v>
      </c>
      <c r="F5" s="41">
        <v>590</v>
      </c>
      <c r="G5" s="41">
        <v>480</v>
      </c>
      <c r="H5" s="41">
        <f>480+480</f>
        <v>960</v>
      </c>
      <c r="I5" s="41">
        <v>480</v>
      </c>
      <c r="J5" s="41">
        <v>480</v>
      </c>
      <c r="K5" s="41">
        <v>200</v>
      </c>
      <c r="L5" s="41">
        <v>200</v>
      </c>
      <c r="M5" s="41">
        <v>200</v>
      </c>
      <c r="N5" s="41">
        <v>200</v>
      </c>
      <c r="O5" s="41">
        <v>200</v>
      </c>
      <c r="P5" s="40">
        <f t="shared" ref="P5:P10" si="0">SUM(D5:O5)</f>
        <v>4870</v>
      </c>
    </row>
    <row r="6" spans="1:17">
      <c r="A6" s="11" t="s">
        <v>259</v>
      </c>
      <c r="D6" s="41">
        <v>8</v>
      </c>
      <c r="E6" s="41">
        <f>491.48-480</f>
        <v>11.480000000000018</v>
      </c>
      <c r="F6" s="41"/>
      <c r="G6" s="41"/>
      <c r="H6" s="41"/>
      <c r="I6" s="41"/>
      <c r="J6" s="41"/>
      <c r="K6" s="41"/>
      <c r="L6" s="41"/>
      <c r="M6" s="41">
        <v>17.170000000000002</v>
      </c>
      <c r="N6" s="41">
        <v>5.98</v>
      </c>
      <c r="O6" s="41"/>
      <c r="P6" s="40">
        <f t="shared" si="0"/>
        <v>42.630000000000024</v>
      </c>
    </row>
    <row r="7" spans="1:17">
      <c r="A7" s="11" t="s">
        <v>261</v>
      </c>
      <c r="D7" s="41">
        <v>277.55</v>
      </c>
      <c r="E7" s="41"/>
      <c r="F7" s="41"/>
      <c r="G7" s="41">
        <v>361.78</v>
      </c>
      <c r="H7" s="41"/>
      <c r="I7" s="41"/>
      <c r="J7" s="41"/>
      <c r="K7" s="41"/>
      <c r="L7" s="41">
        <v>272.2</v>
      </c>
      <c r="M7" s="41"/>
      <c r="N7" s="41"/>
      <c r="O7" s="41"/>
      <c r="P7" s="40">
        <f t="shared" si="0"/>
        <v>911.53</v>
      </c>
    </row>
    <row r="8" spans="1:17">
      <c r="A8" s="11" t="s">
        <v>262</v>
      </c>
      <c r="D8" s="41"/>
      <c r="E8" s="41"/>
      <c r="F8" s="41"/>
      <c r="G8" s="41">
        <v>29.68</v>
      </c>
      <c r="H8" s="41"/>
      <c r="I8" s="41"/>
      <c r="J8" s="41"/>
      <c r="K8" s="41"/>
      <c r="L8" s="41"/>
      <c r="M8" s="41"/>
      <c r="N8" s="41"/>
      <c r="O8" s="41"/>
      <c r="P8" s="40">
        <f t="shared" si="0"/>
        <v>29.68</v>
      </c>
    </row>
    <row r="9" spans="1:17">
      <c r="A9" s="11" t="s">
        <v>263</v>
      </c>
      <c r="D9" s="42"/>
      <c r="E9" s="42"/>
      <c r="F9" s="42"/>
      <c r="G9" s="42"/>
      <c r="H9" s="42">
        <v>44.82</v>
      </c>
      <c r="I9" s="42"/>
      <c r="J9" s="42"/>
      <c r="K9" s="42"/>
      <c r="L9" s="42"/>
      <c r="M9" s="42"/>
      <c r="N9" s="42"/>
      <c r="O9" s="42"/>
      <c r="P9" s="40">
        <f t="shared" si="0"/>
        <v>44.82</v>
      </c>
    </row>
    <row r="10" spans="1:17"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0">
        <f t="shared" si="0"/>
        <v>0</v>
      </c>
    </row>
    <row r="11" spans="1:17">
      <c r="D11" s="39">
        <f t="shared" ref="D11:P11" si="1">SUM(D5:D10)</f>
        <v>685.55</v>
      </c>
      <c r="E11" s="39">
        <f t="shared" si="1"/>
        <v>491.48</v>
      </c>
      <c r="F11" s="39">
        <f t="shared" si="1"/>
        <v>590</v>
      </c>
      <c r="G11" s="39">
        <f t="shared" si="1"/>
        <v>871.45999999999992</v>
      </c>
      <c r="H11" s="39">
        <f t="shared" si="1"/>
        <v>1004.82</v>
      </c>
      <c r="I11" s="39">
        <f t="shared" si="1"/>
        <v>480</v>
      </c>
      <c r="J11" s="39">
        <f t="shared" si="1"/>
        <v>480</v>
      </c>
      <c r="K11" s="39">
        <f t="shared" si="1"/>
        <v>200</v>
      </c>
      <c r="L11" s="39">
        <f t="shared" si="1"/>
        <v>472.2</v>
      </c>
      <c r="M11" s="39">
        <f t="shared" si="1"/>
        <v>217.17000000000002</v>
      </c>
      <c r="N11" s="39">
        <f t="shared" si="1"/>
        <v>205.98</v>
      </c>
      <c r="O11" s="39">
        <f t="shared" si="1"/>
        <v>200</v>
      </c>
      <c r="P11" s="39">
        <f t="shared" si="1"/>
        <v>5898.66</v>
      </c>
    </row>
    <row r="13" spans="1:17" ht="18">
      <c r="A13" s="46" t="s">
        <v>266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/>
      <c r="Q13" s="48"/>
    </row>
    <row r="14" spans="1:17" ht="18">
      <c r="A14" s="46" t="s">
        <v>130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8"/>
    </row>
    <row r="15" spans="1:17" ht="18">
      <c r="A15" s="46" t="s">
        <v>265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8"/>
    </row>
    <row r="17" spans="1:16" ht="15.75">
      <c r="A17" s="49" t="s">
        <v>267</v>
      </c>
    </row>
    <row r="18" spans="1:16" ht="15.75">
      <c r="A18" s="49" t="s">
        <v>268</v>
      </c>
      <c r="D18" s="8">
        <v>42644</v>
      </c>
      <c r="E18" s="8">
        <v>42675</v>
      </c>
      <c r="F18" s="8">
        <v>42705</v>
      </c>
      <c r="G18" s="8">
        <v>42736</v>
      </c>
      <c r="H18" s="8">
        <v>42767</v>
      </c>
      <c r="I18" s="8">
        <v>42795</v>
      </c>
      <c r="J18" s="8">
        <v>42826</v>
      </c>
      <c r="K18" s="8">
        <v>42856</v>
      </c>
      <c r="L18" s="8">
        <v>42887</v>
      </c>
      <c r="M18" s="8">
        <v>42917</v>
      </c>
      <c r="N18" s="8">
        <v>42948</v>
      </c>
      <c r="O18" s="8">
        <v>42979</v>
      </c>
      <c r="P18" s="2" t="s">
        <v>0</v>
      </c>
    </row>
    <row r="19" spans="1:16"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</row>
    <row r="20" spans="1:16">
      <c r="A20" s="11" t="s">
        <v>260</v>
      </c>
      <c r="D20" s="41">
        <v>480</v>
      </c>
      <c r="E20" s="41">
        <v>480</v>
      </c>
      <c r="F20" s="41">
        <v>480</v>
      </c>
      <c r="G20" s="41">
        <v>480</v>
      </c>
      <c r="H20" s="41">
        <v>480</v>
      </c>
      <c r="I20" s="41">
        <v>480</v>
      </c>
      <c r="J20" s="41">
        <v>480</v>
      </c>
      <c r="K20" s="41">
        <v>200</v>
      </c>
      <c r="L20" s="41">
        <v>200</v>
      </c>
      <c r="M20" s="41">
        <v>200</v>
      </c>
      <c r="N20" s="41">
        <v>200</v>
      </c>
      <c r="O20" s="41">
        <v>200</v>
      </c>
      <c r="P20" s="40">
        <f>SUM(D20:O20)</f>
        <v>4360</v>
      </c>
    </row>
    <row r="21" spans="1:16">
      <c r="A21" s="11" t="s">
        <v>259</v>
      </c>
      <c r="D21" s="41">
        <v>10</v>
      </c>
      <c r="E21" s="41"/>
      <c r="F21" s="41"/>
      <c r="G21" s="41">
        <v>10</v>
      </c>
      <c r="H21" s="41"/>
      <c r="I21" s="41"/>
      <c r="J21" s="41">
        <v>10</v>
      </c>
      <c r="K21" s="41"/>
      <c r="L21" s="41"/>
      <c r="M21" s="41">
        <v>10</v>
      </c>
      <c r="N21" s="41"/>
      <c r="O21" s="41"/>
      <c r="P21" s="40">
        <f>SUM(D21:O21)</f>
        <v>40</v>
      </c>
    </row>
    <row r="22" spans="1:16">
      <c r="A22" s="11" t="s">
        <v>261</v>
      </c>
      <c r="D22" s="41">
        <v>225</v>
      </c>
      <c r="E22" s="41"/>
      <c r="F22" s="41"/>
      <c r="G22" s="41">
        <v>225</v>
      </c>
      <c r="H22" s="41"/>
      <c r="I22" s="41"/>
      <c r="J22" s="41">
        <v>225</v>
      </c>
      <c r="K22" s="41"/>
      <c r="L22" s="41"/>
      <c r="M22" s="41">
        <v>225</v>
      </c>
      <c r="N22" s="41"/>
      <c r="O22" s="41"/>
      <c r="P22" s="40">
        <f>SUM(D22:O22)</f>
        <v>900</v>
      </c>
    </row>
    <row r="23" spans="1:16">
      <c r="D23" s="39">
        <f t="shared" ref="D23:P23" si="2">SUM(D20:D22)</f>
        <v>715</v>
      </c>
      <c r="E23" s="39">
        <f t="shared" si="2"/>
        <v>480</v>
      </c>
      <c r="F23" s="39">
        <f t="shared" si="2"/>
        <v>480</v>
      </c>
      <c r="G23" s="39">
        <f t="shared" si="2"/>
        <v>715</v>
      </c>
      <c r="H23" s="39">
        <f t="shared" si="2"/>
        <v>480</v>
      </c>
      <c r="I23" s="39">
        <f t="shared" si="2"/>
        <v>480</v>
      </c>
      <c r="J23" s="39">
        <f t="shared" si="2"/>
        <v>715</v>
      </c>
      <c r="K23" s="39">
        <f t="shared" si="2"/>
        <v>200</v>
      </c>
      <c r="L23" s="39">
        <f t="shared" si="2"/>
        <v>200</v>
      </c>
      <c r="M23" s="39">
        <f t="shared" si="2"/>
        <v>435</v>
      </c>
      <c r="N23" s="39">
        <f t="shared" si="2"/>
        <v>200</v>
      </c>
      <c r="O23" s="39">
        <f t="shared" si="2"/>
        <v>200</v>
      </c>
      <c r="P23" s="39">
        <f t="shared" si="2"/>
        <v>5300</v>
      </c>
    </row>
    <row r="26" spans="1:16" ht="15.75">
      <c r="A26" s="49" t="s">
        <v>269</v>
      </c>
    </row>
    <row r="27" spans="1:16" ht="15.75">
      <c r="A27" s="49" t="s">
        <v>270</v>
      </c>
      <c r="D27" s="8">
        <v>42644</v>
      </c>
      <c r="E27" s="8">
        <v>42675</v>
      </c>
      <c r="F27" s="8">
        <v>42705</v>
      </c>
      <c r="G27" s="8">
        <v>42736</v>
      </c>
      <c r="H27" s="8">
        <v>42767</v>
      </c>
      <c r="I27" s="8">
        <v>42795</v>
      </c>
      <c r="J27" s="8">
        <v>42826</v>
      </c>
      <c r="K27" s="8">
        <v>42856</v>
      </c>
      <c r="L27" s="8">
        <v>42887</v>
      </c>
      <c r="M27" s="8">
        <v>42917</v>
      </c>
      <c r="N27" s="8">
        <v>42948</v>
      </c>
      <c r="O27" s="8">
        <v>42979</v>
      </c>
      <c r="P27" s="2" t="s">
        <v>0</v>
      </c>
    </row>
    <row r="28" spans="1:16"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</row>
    <row r="29" spans="1:16">
      <c r="A29" s="1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0">
        <f>SUM(D29:O29)</f>
        <v>0</v>
      </c>
    </row>
    <row r="30" spans="1:16">
      <c r="A30" s="1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0">
        <f>SUM(D30:O30)</f>
        <v>0</v>
      </c>
    </row>
    <row r="31" spans="1:16">
      <c r="A31" s="1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0">
        <f>SUM(D31:O31)</f>
        <v>0</v>
      </c>
    </row>
    <row r="32" spans="1:16">
      <c r="D32" s="39">
        <f t="shared" ref="D32:P32" si="3">SUM(D29:D31)</f>
        <v>0</v>
      </c>
      <c r="E32" s="39">
        <f t="shared" si="3"/>
        <v>0</v>
      </c>
      <c r="F32" s="39">
        <f t="shared" si="3"/>
        <v>0</v>
      </c>
      <c r="G32" s="39">
        <f t="shared" si="3"/>
        <v>0</v>
      </c>
      <c r="H32" s="39">
        <f t="shared" si="3"/>
        <v>0</v>
      </c>
      <c r="I32" s="39">
        <f t="shared" si="3"/>
        <v>0</v>
      </c>
      <c r="J32" s="39">
        <f t="shared" si="3"/>
        <v>0</v>
      </c>
      <c r="K32" s="39">
        <f t="shared" si="3"/>
        <v>0</v>
      </c>
      <c r="L32" s="39">
        <f t="shared" si="3"/>
        <v>0</v>
      </c>
      <c r="M32" s="39">
        <f t="shared" si="3"/>
        <v>0</v>
      </c>
      <c r="N32" s="39">
        <f t="shared" si="3"/>
        <v>0</v>
      </c>
      <c r="O32" s="39">
        <f t="shared" si="3"/>
        <v>0</v>
      </c>
      <c r="P32" s="39">
        <f t="shared" si="3"/>
        <v>0</v>
      </c>
    </row>
    <row r="34" spans="1:16" ht="15.75">
      <c r="A34" s="49" t="s">
        <v>272</v>
      </c>
    </row>
    <row r="35" spans="1:16" ht="15.75">
      <c r="A35" s="49" t="s">
        <v>271</v>
      </c>
      <c r="D35" s="8">
        <v>42644</v>
      </c>
      <c r="E35" s="8">
        <v>42675</v>
      </c>
      <c r="F35" s="8">
        <v>42705</v>
      </c>
      <c r="G35" s="8">
        <v>42736</v>
      </c>
      <c r="H35" s="8">
        <v>42767</v>
      </c>
      <c r="I35" s="8">
        <v>42795</v>
      </c>
      <c r="J35" s="8">
        <v>42826</v>
      </c>
      <c r="K35" s="8">
        <v>42856</v>
      </c>
      <c r="L35" s="8">
        <v>42887</v>
      </c>
      <c r="M35" s="8">
        <v>42917</v>
      </c>
      <c r="N35" s="8">
        <v>42948</v>
      </c>
      <c r="O35" s="8">
        <v>42979</v>
      </c>
      <c r="P35" s="2" t="s">
        <v>0</v>
      </c>
    </row>
    <row r="36" spans="1:16"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8"/>
    </row>
    <row r="37" spans="1:16">
      <c r="A37" s="11" t="s">
        <v>273</v>
      </c>
      <c r="D37" s="41">
        <v>495</v>
      </c>
      <c r="E37" s="41">
        <v>495</v>
      </c>
      <c r="F37" s="41">
        <v>495</v>
      </c>
      <c r="G37" s="41">
        <v>495</v>
      </c>
      <c r="H37" s="41">
        <v>495</v>
      </c>
      <c r="I37" s="41">
        <v>495</v>
      </c>
      <c r="J37" s="41">
        <v>495</v>
      </c>
      <c r="K37" s="41"/>
      <c r="L37" s="41"/>
      <c r="M37" s="41"/>
      <c r="N37" s="41"/>
      <c r="O37" s="41"/>
      <c r="P37" s="40">
        <f>SUM(D37:O37)</f>
        <v>3465</v>
      </c>
    </row>
    <row r="38" spans="1:16">
      <c r="A38" s="1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0">
        <f>SUM(D38:O38)</f>
        <v>0</v>
      </c>
    </row>
    <row r="39" spans="1:16">
      <c r="A39" s="1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0">
        <f>SUM(D39:O39)</f>
        <v>0</v>
      </c>
    </row>
    <row r="40" spans="1:16">
      <c r="D40" s="39">
        <f t="shared" ref="D40:P40" si="4">SUM(D37:D39)</f>
        <v>495</v>
      </c>
      <c r="E40" s="39">
        <f t="shared" si="4"/>
        <v>495</v>
      </c>
      <c r="F40" s="39">
        <f t="shared" si="4"/>
        <v>495</v>
      </c>
      <c r="G40" s="39">
        <f t="shared" si="4"/>
        <v>495</v>
      </c>
      <c r="H40" s="39">
        <f t="shared" si="4"/>
        <v>495</v>
      </c>
      <c r="I40" s="39">
        <f t="shared" si="4"/>
        <v>495</v>
      </c>
      <c r="J40" s="39">
        <f t="shared" si="4"/>
        <v>495</v>
      </c>
      <c r="K40" s="39">
        <f t="shared" si="4"/>
        <v>0</v>
      </c>
      <c r="L40" s="39">
        <f t="shared" si="4"/>
        <v>0</v>
      </c>
      <c r="M40" s="39">
        <f t="shared" si="4"/>
        <v>0</v>
      </c>
      <c r="N40" s="39">
        <f t="shared" si="4"/>
        <v>0</v>
      </c>
      <c r="O40" s="39">
        <f t="shared" si="4"/>
        <v>0</v>
      </c>
      <c r="P40" s="39">
        <f t="shared" si="4"/>
        <v>3465</v>
      </c>
    </row>
    <row r="42" spans="1:16" ht="15.75">
      <c r="A42" s="49" t="s">
        <v>275</v>
      </c>
    </row>
    <row r="43" spans="1:16" ht="15.75">
      <c r="A43" s="50" t="s">
        <v>278</v>
      </c>
      <c r="D43" s="8">
        <v>42644</v>
      </c>
      <c r="E43" s="8">
        <v>42675</v>
      </c>
      <c r="F43" s="8">
        <v>42705</v>
      </c>
      <c r="G43" s="8">
        <v>42736</v>
      </c>
      <c r="H43" s="8">
        <v>42767</v>
      </c>
      <c r="I43" s="8">
        <v>42795</v>
      </c>
      <c r="J43" s="8">
        <v>42826</v>
      </c>
      <c r="K43" s="8">
        <v>42856</v>
      </c>
      <c r="L43" s="8">
        <v>42887</v>
      </c>
      <c r="M43" s="8">
        <v>42917</v>
      </c>
      <c r="N43" s="8">
        <v>42948</v>
      </c>
      <c r="O43" s="8">
        <v>42979</v>
      </c>
      <c r="P43" s="2" t="s">
        <v>0</v>
      </c>
    </row>
    <row r="44" spans="1:16"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</row>
    <row r="45" spans="1:16">
      <c r="A45" s="11" t="s">
        <v>276</v>
      </c>
      <c r="D45" s="41"/>
      <c r="E45" s="41"/>
      <c r="F45" s="41"/>
      <c r="G45" s="41"/>
      <c r="H45" s="41"/>
      <c r="I45" s="41"/>
      <c r="J45" s="41"/>
      <c r="K45" s="41">
        <v>150</v>
      </c>
      <c r="L45" s="41">
        <v>150</v>
      </c>
      <c r="M45" s="41">
        <v>150</v>
      </c>
      <c r="N45" s="41">
        <v>150</v>
      </c>
      <c r="O45" s="41">
        <v>150</v>
      </c>
      <c r="P45" s="40">
        <f>SUM(D45:O45)</f>
        <v>750</v>
      </c>
    </row>
    <row r="46" spans="1:16">
      <c r="A46" s="1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0">
        <f>SUM(D46:O46)</f>
        <v>0</v>
      </c>
    </row>
    <row r="47" spans="1:16">
      <c r="A47" s="1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0">
        <f>SUM(D47:O47)</f>
        <v>0</v>
      </c>
    </row>
    <row r="48" spans="1:16">
      <c r="D48" s="39">
        <f t="shared" ref="D48:P48" si="5">SUM(D45:D47)</f>
        <v>0</v>
      </c>
      <c r="E48" s="39">
        <f t="shared" si="5"/>
        <v>0</v>
      </c>
      <c r="F48" s="39">
        <f t="shared" si="5"/>
        <v>0</v>
      </c>
      <c r="G48" s="39">
        <f t="shared" si="5"/>
        <v>0</v>
      </c>
      <c r="H48" s="39">
        <f t="shared" si="5"/>
        <v>0</v>
      </c>
      <c r="I48" s="39">
        <f t="shared" si="5"/>
        <v>0</v>
      </c>
      <c r="J48" s="39">
        <f t="shared" si="5"/>
        <v>0</v>
      </c>
      <c r="K48" s="39">
        <f t="shared" si="5"/>
        <v>150</v>
      </c>
      <c r="L48" s="39">
        <f t="shared" si="5"/>
        <v>150</v>
      </c>
      <c r="M48" s="39">
        <f t="shared" si="5"/>
        <v>150</v>
      </c>
      <c r="N48" s="39">
        <f t="shared" si="5"/>
        <v>150</v>
      </c>
      <c r="O48" s="39">
        <f t="shared" si="5"/>
        <v>150</v>
      </c>
      <c r="P48" s="39">
        <f t="shared" si="5"/>
        <v>750</v>
      </c>
    </row>
    <row r="51" spans="1:16" ht="15.75">
      <c r="A51" s="49" t="s">
        <v>277</v>
      </c>
    </row>
    <row r="52" spans="1:16" ht="15.75">
      <c r="A52" s="50" t="s">
        <v>279</v>
      </c>
      <c r="D52" s="8">
        <v>42644</v>
      </c>
      <c r="E52" s="8">
        <v>42675</v>
      </c>
      <c r="F52" s="8">
        <v>42705</v>
      </c>
      <c r="G52" s="8">
        <v>42736</v>
      </c>
      <c r="H52" s="8">
        <v>42767</v>
      </c>
      <c r="I52" s="8">
        <v>42795</v>
      </c>
      <c r="J52" s="8">
        <v>42826</v>
      </c>
      <c r="K52" s="8">
        <v>42856</v>
      </c>
      <c r="L52" s="8">
        <v>42887</v>
      </c>
      <c r="M52" s="8">
        <v>42917</v>
      </c>
      <c r="N52" s="8">
        <v>42948</v>
      </c>
      <c r="O52" s="8">
        <v>42979</v>
      </c>
      <c r="P52" s="2" t="s">
        <v>0</v>
      </c>
    </row>
    <row r="53" spans="1:16"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>
      <c r="A54" s="11" t="s">
        <v>276</v>
      </c>
      <c r="D54" s="41">
        <v>800</v>
      </c>
      <c r="E54" s="41">
        <v>800</v>
      </c>
      <c r="F54" s="41">
        <v>800</v>
      </c>
      <c r="G54" s="41">
        <v>800</v>
      </c>
      <c r="H54" s="41">
        <v>800</v>
      </c>
      <c r="I54" s="41">
        <v>800</v>
      </c>
      <c r="J54" s="41">
        <v>800</v>
      </c>
      <c r="K54" s="41"/>
      <c r="L54" s="41"/>
      <c r="M54" s="41"/>
      <c r="N54" s="41"/>
      <c r="O54" s="41"/>
      <c r="P54" s="40">
        <f>SUM(D54:O54)</f>
        <v>5600</v>
      </c>
    </row>
    <row r="55" spans="1:16">
      <c r="A55" s="1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0">
        <f>SUM(D55:O55)</f>
        <v>0</v>
      </c>
    </row>
    <row r="56" spans="1:16">
      <c r="A56" s="1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0">
        <f>SUM(D56:O56)</f>
        <v>0</v>
      </c>
    </row>
    <row r="57" spans="1:16">
      <c r="D57" s="39">
        <f t="shared" ref="D57:P57" si="6">SUM(D54:D56)</f>
        <v>800</v>
      </c>
      <c r="E57" s="39">
        <f t="shared" si="6"/>
        <v>800</v>
      </c>
      <c r="F57" s="39">
        <f t="shared" si="6"/>
        <v>800</v>
      </c>
      <c r="G57" s="39">
        <f t="shared" si="6"/>
        <v>800</v>
      </c>
      <c r="H57" s="39">
        <f t="shared" si="6"/>
        <v>800</v>
      </c>
      <c r="I57" s="39">
        <f t="shared" si="6"/>
        <v>800</v>
      </c>
      <c r="J57" s="39">
        <f t="shared" si="6"/>
        <v>800</v>
      </c>
      <c r="K57" s="39">
        <f t="shared" si="6"/>
        <v>0</v>
      </c>
      <c r="L57" s="39">
        <f t="shared" si="6"/>
        <v>0</v>
      </c>
      <c r="M57" s="39">
        <f t="shared" si="6"/>
        <v>0</v>
      </c>
      <c r="N57" s="39">
        <f t="shared" si="6"/>
        <v>0</v>
      </c>
      <c r="O57" s="39">
        <f t="shared" si="6"/>
        <v>0</v>
      </c>
      <c r="P57" s="39">
        <f t="shared" si="6"/>
        <v>5600</v>
      </c>
    </row>
    <row r="60" spans="1:16" ht="15.75">
      <c r="A60" s="49" t="s">
        <v>280</v>
      </c>
    </row>
    <row r="61" spans="1:16" ht="15.75">
      <c r="A61" s="50" t="s">
        <v>281</v>
      </c>
      <c r="D61" s="8">
        <v>42644</v>
      </c>
      <c r="E61" s="8">
        <v>42675</v>
      </c>
      <c r="F61" s="8">
        <v>42705</v>
      </c>
      <c r="G61" s="8">
        <v>42736</v>
      </c>
      <c r="H61" s="8">
        <v>42767</v>
      </c>
      <c r="I61" s="8">
        <v>42795</v>
      </c>
      <c r="J61" s="8">
        <v>42826</v>
      </c>
      <c r="K61" s="8">
        <v>42856</v>
      </c>
      <c r="L61" s="8">
        <v>42887</v>
      </c>
      <c r="M61" s="8">
        <v>42917</v>
      </c>
      <c r="N61" s="8">
        <v>42948</v>
      </c>
      <c r="O61" s="8">
        <v>42979</v>
      </c>
      <c r="P61" s="2" t="s">
        <v>0</v>
      </c>
    </row>
    <row r="62" spans="1:16"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8"/>
    </row>
    <row r="63" spans="1:16">
      <c r="A63" s="11" t="s">
        <v>282</v>
      </c>
      <c r="D63" s="41"/>
      <c r="E63" s="41">
        <v>945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0">
        <f>SUM(D63:O63)</f>
        <v>945</v>
      </c>
    </row>
    <row r="64" spans="1:16">
      <c r="A64" s="1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0">
        <f>SUM(D64:O64)</f>
        <v>0</v>
      </c>
    </row>
    <row r="65" spans="1:16">
      <c r="A65" s="1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0">
        <f>SUM(D65:O65)</f>
        <v>0</v>
      </c>
    </row>
    <row r="66" spans="1:16">
      <c r="D66" s="39">
        <f t="shared" ref="D66:P66" si="7">SUM(D63:D65)</f>
        <v>0</v>
      </c>
      <c r="E66" s="39">
        <f t="shared" si="7"/>
        <v>945</v>
      </c>
      <c r="F66" s="39">
        <f t="shared" si="7"/>
        <v>0</v>
      </c>
      <c r="G66" s="39">
        <f t="shared" si="7"/>
        <v>0</v>
      </c>
      <c r="H66" s="39">
        <f t="shared" si="7"/>
        <v>0</v>
      </c>
      <c r="I66" s="39">
        <f t="shared" si="7"/>
        <v>0</v>
      </c>
      <c r="J66" s="39">
        <f t="shared" si="7"/>
        <v>0</v>
      </c>
      <c r="K66" s="39">
        <f t="shared" si="7"/>
        <v>0</v>
      </c>
      <c r="L66" s="39">
        <f t="shared" si="7"/>
        <v>0</v>
      </c>
      <c r="M66" s="39">
        <f t="shared" si="7"/>
        <v>0</v>
      </c>
      <c r="N66" s="39">
        <f t="shared" si="7"/>
        <v>0</v>
      </c>
      <c r="O66" s="39">
        <f t="shared" si="7"/>
        <v>0</v>
      </c>
      <c r="P66" s="39">
        <f t="shared" si="7"/>
        <v>945</v>
      </c>
    </row>
    <row r="68" spans="1:16" ht="15.75">
      <c r="A68" s="49" t="s">
        <v>284</v>
      </c>
    </row>
    <row r="69" spans="1:16" ht="15.75">
      <c r="A69" s="50" t="s">
        <v>283</v>
      </c>
      <c r="D69" s="8">
        <v>42644</v>
      </c>
      <c r="E69" s="8">
        <v>42675</v>
      </c>
      <c r="F69" s="8">
        <v>42705</v>
      </c>
      <c r="G69" s="8">
        <v>42736</v>
      </c>
      <c r="H69" s="8">
        <v>42767</v>
      </c>
      <c r="I69" s="8">
        <v>42795</v>
      </c>
      <c r="J69" s="8">
        <v>42826</v>
      </c>
      <c r="K69" s="8">
        <v>42856</v>
      </c>
      <c r="L69" s="8">
        <v>42887</v>
      </c>
      <c r="M69" s="8">
        <v>42917</v>
      </c>
      <c r="N69" s="8">
        <v>42948</v>
      </c>
      <c r="O69" s="8">
        <v>42979</v>
      </c>
      <c r="P69" s="2" t="s">
        <v>0</v>
      </c>
    </row>
    <row r="70" spans="1:16"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8"/>
    </row>
    <row r="71" spans="1:16">
      <c r="A71" s="1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0">
        <f>SUM(D71:O71)</f>
        <v>0</v>
      </c>
    </row>
    <row r="72" spans="1:16">
      <c r="A72" s="1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0">
        <f>SUM(D72:O72)</f>
        <v>0</v>
      </c>
    </row>
    <row r="73" spans="1:16">
      <c r="A73" s="1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0">
        <f>SUM(D73:O73)</f>
        <v>0</v>
      </c>
    </row>
    <row r="74" spans="1:16">
      <c r="D74" s="39">
        <f t="shared" ref="D74:P74" si="8">SUM(D71:D73)</f>
        <v>0</v>
      </c>
      <c r="E74" s="39">
        <f t="shared" si="8"/>
        <v>0</v>
      </c>
      <c r="F74" s="39">
        <f t="shared" si="8"/>
        <v>0</v>
      </c>
      <c r="G74" s="39">
        <f t="shared" si="8"/>
        <v>0</v>
      </c>
      <c r="H74" s="39">
        <f t="shared" si="8"/>
        <v>0</v>
      </c>
      <c r="I74" s="39">
        <f t="shared" si="8"/>
        <v>0</v>
      </c>
      <c r="J74" s="39">
        <f t="shared" si="8"/>
        <v>0</v>
      </c>
      <c r="K74" s="39">
        <f t="shared" si="8"/>
        <v>0</v>
      </c>
      <c r="L74" s="39">
        <f t="shared" si="8"/>
        <v>0</v>
      </c>
      <c r="M74" s="39">
        <f t="shared" si="8"/>
        <v>0</v>
      </c>
      <c r="N74" s="39">
        <f t="shared" si="8"/>
        <v>0</v>
      </c>
      <c r="O74" s="39">
        <f t="shared" si="8"/>
        <v>0</v>
      </c>
      <c r="P74" s="39">
        <f t="shared" si="8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STATEMENT OF REVENUES AND EXPEN</vt:lpstr>
      <vt:lpstr>Revenue</vt:lpstr>
      <vt:lpstr>OTA Fees</vt:lpstr>
      <vt:lpstr>2016 Maintenance Costs</vt:lpstr>
      <vt:lpstr>Assistant Pro</vt:lpstr>
      <vt:lpstr>Repairs Cleaning and Mntc</vt:lpstr>
      <vt:lpstr>Revenue!Print_Area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Smalec</dc:creator>
  <cp:lastModifiedBy>Scot Cameron</cp:lastModifiedBy>
  <cp:lastPrinted>2016-10-16T19:33:51Z</cp:lastPrinted>
  <dcterms:created xsi:type="dcterms:W3CDTF">2016-10-16T19:23:55Z</dcterms:created>
  <dcterms:modified xsi:type="dcterms:W3CDTF">2016-11-01T18:10:22Z</dcterms:modified>
</cp:coreProperties>
</file>